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5315" windowHeight="5715" activeTab="2"/>
  </bookViews>
  <sheets>
    <sheet name="BETA CALC" sheetId="1" r:id="rId1"/>
    <sheet name="364" sheetId="2" r:id="rId2"/>
    <sheet name="179" sheetId="3" r:id="rId3"/>
    <sheet name="217" sheetId="4" r:id="rId4"/>
  </sheets>
  <calcPr calcId="145621"/>
</workbook>
</file>

<file path=xl/calcChain.xml><?xml version="1.0" encoding="utf-8"?>
<calcChain xmlns="http://schemas.openxmlformats.org/spreadsheetml/2006/main">
  <c r="H41" i="3" l="1"/>
  <c r="H40" i="3"/>
  <c r="F195" i="4" l="1"/>
  <c r="E198" i="4"/>
  <c r="F197" i="4"/>
  <c r="F196" i="4"/>
  <c r="D187" i="4"/>
  <c r="G186" i="4"/>
  <c r="H186" i="4"/>
  <c r="I186" i="4" s="1"/>
  <c r="J186" i="4" s="1"/>
  <c r="K186" i="4" s="1"/>
  <c r="F186" i="4"/>
  <c r="K184" i="4"/>
  <c r="G184" i="4"/>
  <c r="H184" i="4" s="1"/>
  <c r="I184" i="4" s="1"/>
  <c r="J184" i="4" s="1"/>
  <c r="F184" i="4"/>
  <c r="C181" i="4"/>
  <c r="C182" i="4"/>
  <c r="E170" i="4"/>
  <c r="I181" i="4"/>
  <c r="F180" i="4"/>
  <c r="H180" i="4" s="1"/>
  <c r="C178" i="4"/>
  <c r="C177" i="4"/>
  <c r="C176" i="4"/>
  <c r="D169" i="4"/>
  <c r="C174" i="4"/>
  <c r="D172" i="4"/>
  <c r="H181" i="4" l="1"/>
  <c r="H20" i="4"/>
  <c r="H163" i="4"/>
  <c r="H166" i="4"/>
  <c r="G166" i="4"/>
  <c r="G165" i="4"/>
  <c r="H165" i="4"/>
  <c r="H164" i="4"/>
  <c r="G164" i="4"/>
  <c r="C165" i="4"/>
  <c r="C164" i="4"/>
  <c r="C163" i="4"/>
  <c r="D163" i="4"/>
  <c r="E155" i="4"/>
  <c r="D155" i="4" s="1"/>
  <c r="C155" i="4" s="1"/>
  <c r="B153" i="4"/>
  <c r="E146" i="4"/>
  <c r="C150" i="4"/>
  <c r="D146" i="4"/>
  <c r="E144" i="4"/>
  <c r="E143" i="4"/>
  <c r="E142" i="4"/>
  <c r="E141" i="4"/>
  <c r="E140" i="4"/>
  <c r="H139" i="4"/>
  <c r="G139" i="4"/>
  <c r="E135" i="4"/>
  <c r="E134" i="4"/>
  <c r="E131" i="4"/>
  <c r="C135" i="4"/>
  <c r="C134" i="4"/>
  <c r="E130" i="4"/>
  <c r="C128" i="4"/>
  <c r="C127" i="4"/>
  <c r="C125" i="4"/>
  <c r="C124" i="4"/>
  <c r="C122" i="4"/>
  <c r="F113" i="4"/>
  <c r="E113" i="4"/>
  <c r="D113" i="4"/>
  <c r="F115" i="4"/>
  <c r="E115" i="4"/>
  <c r="E114" i="4"/>
  <c r="F114" i="4"/>
  <c r="D114" i="4"/>
  <c r="C108" i="4"/>
  <c r="C107" i="4"/>
  <c r="C106" i="4"/>
  <c r="C105" i="4"/>
  <c r="C64" i="4"/>
  <c r="D101" i="4"/>
  <c r="C101" i="4"/>
  <c r="C100" i="4"/>
  <c r="C99" i="4"/>
  <c r="C96" i="4"/>
  <c r="C90" i="4"/>
  <c r="C91" i="4"/>
  <c r="D89" i="4"/>
  <c r="C89" i="4"/>
  <c r="C88" i="4"/>
  <c r="D87" i="4"/>
  <c r="C87" i="4"/>
  <c r="C86" i="4"/>
  <c r="C85" i="4"/>
  <c r="D78" i="4"/>
  <c r="C78" i="4"/>
  <c r="D77" i="4"/>
  <c r="C77" i="4"/>
  <c r="D76" i="4"/>
  <c r="C76" i="4"/>
  <c r="D75" i="4"/>
  <c r="C75" i="4"/>
  <c r="K67" i="4"/>
  <c r="J67" i="4" s="1"/>
  <c r="L67" i="4"/>
  <c r="L66" i="4"/>
  <c r="M66" i="4"/>
  <c r="K66" i="4"/>
  <c r="C70" i="4"/>
  <c r="C69" i="4"/>
  <c r="C68" i="4"/>
  <c r="D68" i="4"/>
  <c r="D67" i="4"/>
  <c r="C67" i="4" s="1"/>
  <c r="E67" i="4"/>
  <c r="C66" i="4"/>
  <c r="F67" i="4"/>
  <c r="E66" i="4"/>
  <c r="F66" i="4"/>
  <c r="D66" i="4"/>
  <c r="J60" i="4"/>
  <c r="J61" i="4"/>
  <c r="J59" i="4"/>
  <c r="I60" i="4"/>
  <c r="I61" i="4"/>
  <c r="I59" i="4"/>
  <c r="H60" i="4"/>
  <c r="H61" i="4"/>
  <c r="H59" i="4"/>
  <c r="I56" i="4"/>
  <c r="I57" i="4"/>
  <c r="I55" i="4"/>
  <c r="H56" i="4"/>
  <c r="H57" i="4"/>
  <c r="H55" i="4"/>
  <c r="F53" i="4"/>
  <c r="E53" i="4"/>
  <c r="D53" i="4"/>
  <c r="C52" i="4"/>
  <c r="D51" i="4"/>
  <c r="D52" i="4" s="1"/>
  <c r="D40" i="4"/>
  <c r="D46" i="4"/>
  <c r="C42" i="4"/>
  <c r="D41" i="4"/>
  <c r="C41" i="4" s="1"/>
  <c r="E40" i="4"/>
  <c r="D36" i="4"/>
  <c r="D35" i="4"/>
  <c r="E31" i="4"/>
  <c r="E30" i="4"/>
  <c r="E29" i="4"/>
  <c r="E28" i="4"/>
  <c r="D27" i="4"/>
  <c r="D25" i="4"/>
  <c r="D24" i="4"/>
  <c r="D23" i="4"/>
  <c r="F18" i="4" l="1"/>
  <c r="D20" i="4"/>
  <c r="E20" i="4"/>
  <c r="C18" i="4"/>
  <c r="D17" i="4"/>
  <c r="E17" i="4" s="1"/>
  <c r="F17" i="4" s="1"/>
  <c r="F19" i="4" s="1"/>
  <c r="F20" i="4" s="1"/>
  <c r="C20" i="4" s="1"/>
  <c r="F14" i="4"/>
  <c r="E14" i="4"/>
  <c r="C14" i="4"/>
  <c r="B14" i="4"/>
  <c r="C12" i="4"/>
  <c r="D11" i="4"/>
  <c r="B11" i="4"/>
  <c r="D8" i="4"/>
  <c r="B5" i="4"/>
  <c r="D5" i="4" s="1"/>
  <c r="B4" i="4"/>
  <c r="B3" i="4"/>
  <c r="B2" i="4"/>
  <c r="D19" i="4" l="1"/>
  <c r="E19" i="4"/>
  <c r="F51" i="3"/>
  <c r="F52" i="3"/>
  <c r="E51" i="3"/>
  <c r="E52" i="3"/>
  <c r="D51" i="3"/>
  <c r="D52" i="3"/>
  <c r="B52" i="3"/>
  <c r="B51" i="3"/>
  <c r="F50" i="3"/>
  <c r="E50" i="3"/>
  <c r="D50" i="3"/>
  <c r="B50" i="3"/>
  <c r="M45" i="3"/>
  <c r="N45" i="3"/>
  <c r="L45" i="3"/>
  <c r="M48" i="3"/>
  <c r="N48" i="3"/>
  <c r="L48" i="3"/>
  <c r="M47" i="3"/>
  <c r="N47" i="3"/>
  <c r="L47" i="3"/>
  <c r="N46" i="3"/>
  <c r="M46" i="3"/>
  <c r="L46" i="3"/>
  <c r="F40" i="3"/>
  <c r="E40" i="3"/>
  <c r="D40" i="3"/>
  <c r="D42" i="3"/>
  <c r="D41" i="3"/>
  <c r="E36" i="3"/>
  <c r="G37" i="3"/>
  <c r="E37" i="3"/>
  <c r="E34" i="3"/>
  <c r="E32" i="3"/>
  <c r="E31" i="3"/>
  <c r="F22" i="3"/>
  <c r="E22" i="3"/>
  <c r="D19" i="3"/>
  <c r="D20" i="3"/>
  <c r="E42" i="2" l="1"/>
  <c r="E17" i="1"/>
  <c r="E3" i="1"/>
  <c r="E16" i="1"/>
  <c r="E2" i="1"/>
  <c r="C14" i="3" l="1"/>
  <c r="C13" i="3"/>
  <c r="C12" i="3"/>
  <c r="J10" i="3"/>
  <c r="J9" i="3"/>
  <c r="H10" i="3"/>
  <c r="H9" i="3"/>
  <c r="G10" i="3"/>
  <c r="G9" i="3"/>
  <c r="E10" i="3"/>
  <c r="F10" i="3" s="1"/>
  <c r="D10" i="3"/>
  <c r="E9" i="3"/>
  <c r="D9" i="3"/>
  <c r="D7" i="3"/>
  <c r="B7" i="3"/>
  <c r="B6" i="3"/>
  <c r="B2" i="3"/>
  <c r="C1" i="3"/>
  <c r="B1" i="3"/>
  <c r="D5" i="3"/>
  <c r="D4" i="3"/>
  <c r="F9" i="3" l="1"/>
  <c r="G58" i="2"/>
  <c r="F58" i="2"/>
  <c r="E59" i="2"/>
  <c r="E60" i="2"/>
  <c r="E61" i="2"/>
  <c r="E62" i="2"/>
  <c r="E58" i="2"/>
  <c r="L71" i="2"/>
  <c r="T67" i="2"/>
  <c r="R67" i="2"/>
  <c r="D68" i="2"/>
  <c r="R66" i="2"/>
  <c r="O67" i="2"/>
  <c r="O69" i="2"/>
  <c r="D67" i="2"/>
  <c r="B66" i="2"/>
  <c r="E54" i="2"/>
  <c r="D54" i="2"/>
  <c r="D52" i="2"/>
  <c r="E52" i="2"/>
  <c r="C52" i="2"/>
  <c r="G51" i="2"/>
  <c r="G50" i="2"/>
  <c r="F33" i="2"/>
  <c r="E28" i="2"/>
  <c r="F28" i="2"/>
  <c r="D28" i="2"/>
  <c r="I3" i="2"/>
  <c r="I2" i="2"/>
  <c r="H3" i="2"/>
  <c r="H2" i="2"/>
  <c r="F30" i="2" l="1"/>
  <c r="G30" i="2" s="1"/>
  <c r="J23" i="2"/>
  <c r="J22" i="2"/>
  <c r="J21" i="2"/>
  <c r="H14" i="2"/>
  <c r="G9" i="2"/>
  <c r="F9" i="2"/>
  <c r="E15" i="1" l="1"/>
  <c r="E1" i="1"/>
</calcChain>
</file>

<file path=xl/sharedStrings.xml><?xml version="1.0" encoding="utf-8"?>
<sst xmlns="http://schemas.openxmlformats.org/spreadsheetml/2006/main" count="281" uniqueCount="119">
  <si>
    <t>6.</t>
  </si>
  <si>
    <t xml:space="preserve"> β</t>
  </si>
  <si>
    <r>
      <t>r</t>
    </r>
    <r>
      <rPr>
        <b/>
        <vertAlign val="subscript"/>
        <sz val="16"/>
        <color theme="1"/>
        <rFont val="Arial"/>
        <family val="2"/>
      </rPr>
      <t>f</t>
    </r>
  </si>
  <si>
    <r>
      <t>r</t>
    </r>
    <r>
      <rPr>
        <b/>
        <vertAlign val="subscript"/>
        <sz val="16"/>
        <color theme="1"/>
        <rFont val="Arial"/>
        <family val="2"/>
      </rPr>
      <t>e</t>
    </r>
  </si>
  <si>
    <t>?</t>
  </si>
  <si>
    <t>rp</t>
  </si>
  <si>
    <r>
      <t>r</t>
    </r>
    <r>
      <rPr>
        <b/>
        <vertAlign val="subscript"/>
        <sz val="16"/>
        <color theme="1"/>
        <rFont val="Arial"/>
        <family val="2"/>
      </rPr>
      <t>e = rf +  β*rp</t>
    </r>
  </si>
  <si>
    <t>11%=4%+0,4*rp</t>
  </si>
  <si>
    <t>Value of the Firm= Future Cash Flows/Expected Rate of Return</t>
  </si>
  <si>
    <t>7.</t>
  </si>
  <si>
    <r>
      <t>r</t>
    </r>
    <r>
      <rPr>
        <b/>
        <vertAlign val="subscript"/>
        <sz val="16"/>
        <color theme="1"/>
        <rFont val="Arial"/>
        <family val="2"/>
      </rPr>
      <t>e =6%+ 1,25*(13%-6%)</t>
    </r>
  </si>
  <si>
    <t>underpriced</t>
  </si>
  <si>
    <t>8.</t>
  </si>
  <si>
    <r>
      <t>r</t>
    </r>
    <r>
      <rPr>
        <b/>
        <vertAlign val="subscript"/>
        <sz val="16"/>
        <color theme="1"/>
        <rFont val="Arial"/>
        <family val="2"/>
      </rPr>
      <t>m</t>
    </r>
  </si>
  <si>
    <t>&gt;&gt;</t>
  </si>
  <si>
    <t>12%=rf +  0,8*(14%-rf)</t>
  </si>
  <si>
    <t>9.</t>
  </si>
  <si>
    <t>10.</t>
  </si>
  <si>
    <t>a)</t>
  </si>
  <si>
    <t>c</t>
  </si>
  <si>
    <t>b)</t>
  </si>
  <si>
    <t>a</t>
  </si>
  <si>
    <t>c)</t>
  </si>
  <si>
    <t>5.</t>
  </si>
  <si>
    <t>IRR</t>
  </si>
  <si>
    <t>14%=4%+0,6*rp</t>
  </si>
  <si>
    <t>Accept</t>
  </si>
  <si>
    <t>Reject</t>
  </si>
  <si>
    <t>Month</t>
  </si>
  <si>
    <t>Market</t>
  </si>
  <si>
    <t>Stock</t>
  </si>
  <si>
    <t>11.</t>
  </si>
  <si>
    <t>Boom</t>
  </si>
  <si>
    <t>Bust</t>
  </si>
  <si>
    <t>A</t>
  </si>
  <si>
    <t>D</t>
  </si>
  <si>
    <t xml:space="preserve"> βA</t>
  </si>
  <si>
    <t xml:space="preserve"> βB</t>
  </si>
  <si>
    <t>12.</t>
  </si>
  <si>
    <t>13.</t>
  </si>
  <si>
    <t>rf</t>
  </si>
  <si>
    <r>
      <t>r</t>
    </r>
    <r>
      <rPr>
        <b/>
        <vertAlign val="subscript"/>
        <sz val="16"/>
        <color theme="1"/>
        <rFont val="Arial"/>
        <family val="2"/>
      </rPr>
      <t>e =4%+ 1,4*8%</t>
    </r>
  </si>
  <si>
    <t>Project</t>
  </si>
  <si>
    <t>Beta</t>
  </si>
  <si>
    <t>Q</t>
  </si>
  <si>
    <t>R</t>
  </si>
  <si>
    <t>S</t>
  </si>
  <si>
    <t>T</t>
  </si>
  <si>
    <t>P</t>
  </si>
  <si>
    <t>SML</t>
  </si>
  <si>
    <t>a. Current Yield=</t>
  </si>
  <si>
    <t>b.Yield to maturity =</t>
  </si>
  <si>
    <t>4.</t>
  </si>
  <si>
    <t>RATE OF RETURN</t>
  </si>
  <si>
    <t>a.</t>
  </si>
  <si>
    <t>b.</t>
  </si>
  <si>
    <t>c.</t>
  </si>
  <si>
    <t>16.</t>
  </si>
  <si>
    <t>Current Yield</t>
  </si>
  <si>
    <t>Yield to maturity</t>
  </si>
  <si>
    <t>Coupon Rate</t>
  </si>
  <si>
    <t>NPER</t>
  </si>
  <si>
    <t>PV</t>
  </si>
  <si>
    <t>17.</t>
  </si>
  <si>
    <t>18.</t>
  </si>
  <si>
    <t>to maturity</t>
  </si>
  <si>
    <t>19.</t>
  </si>
  <si>
    <t>Rate of return</t>
  </si>
  <si>
    <t>Coupon</t>
  </si>
  <si>
    <t>Capital gain</t>
  </si>
  <si>
    <t>20.</t>
  </si>
  <si>
    <t>21.</t>
  </si>
  <si>
    <t>maturity</t>
  </si>
  <si>
    <t>Fall</t>
  </si>
  <si>
    <t>Increase</t>
  </si>
  <si>
    <t>Change</t>
  </si>
  <si>
    <t>22.</t>
  </si>
  <si>
    <t>1.</t>
  </si>
  <si>
    <t>No</t>
  </si>
  <si>
    <t>2.</t>
  </si>
  <si>
    <t>3.</t>
  </si>
  <si>
    <t>Div 1</t>
  </si>
  <si>
    <t>g</t>
  </si>
  <si>
    <t>PV of Dividends + PV of stock price</t>
  </si>
  <si>
    <t>16,5%=3/P0+4%&gt;&gt;</t>
  </si>
  <si>
    <t>Akbank</t>
  </si>
  <si>
    <t>MMM</t>
  </si>
  <si>
    <t>Dividends</t>
  </si>
  <si>
    <t>P0</t>
  </si>
  <si>
    <t>Total cash flow</t>
  </si>
  <si>
    <t>r=12%</t>
  </si>
  <si>
    <t>r=</t>
  </si>
  <si>
    <t>14.</t>
  </si>
  <si>
    <t>15.</t>
  </si>
  <si>
    <t>EPS</t>
  </si>
  <si>
    <t>reinvest</t>
  </si>
  <si>
    <t>NPV</t>
  </si>
  <si>
    <t>ROE</t>
  </si>
  <si>
    <t>payout</t>
  </si>
  <si>
    <t>plowback</t>
  </si>
  <si>
    <t>r</t>
  </si>
  <si>
    <t>PVGO</t>
  </si>
  <si>
    <t>P/E</t>
  </si>
  <si>
    <t>23.</t>
  </si>
  <si>
    <t>24.</t>
  </si>
  <si>
    <t>ROE=r</t>
  </si>
  <si>
    <t>25.</t>
  </si>
  <si>
    <t>Div1</t>
  </si>
  <si>
    <t>P0 (Assets in place)</t>
  </si>
  <si>
    <t>27.</t>
  </si>
  <si>
    <t>28.</t>
  </si>
  <si>
    <t>29.</t>
  </si>
  <si>
    <t>book value</t>
  </si>
  <si>
    <t>30.</t>
  </si>
  <si>
    <t>41.</t>
  </si>
  <si>
    <t>P1</t>
  </si>
  <si>
    <t>Capital</t>
  </si>
  <si>
    <t>43.</t>
  </si>
  <si>
    <t>Exp 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</si>
</sst>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\ &quot;₺&quot;;[Red]\-#,##0.00\ &quot;₺&quot;"/>
    <numFmt numFmtId="165" formatCode="0.0%"/>
    <numFmt numFmtId="166" formatCode="0.000%"/>
    <numFmt numFmtId="167" formatCode="0.0000%"/>
    <numFmt numFmtId="168" formatCode="0.000"/>
    <numFmt numFmtId="169" formatCode="0.0000"/>
    <numFmt numFmtId="170" formatCode="0.0"/>
    <numFmt numFmtId="171" formatCode="#,##0.00\ &quot;₺&quot;"/>
    <numFmt numFmtId="172" formatCode="#,##0.000\ &quot;₺&quot;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vertAlign val="subscript"/>
      <sz val="16"/>
      <color theme="1"/>
      <name val="Arial"/>
      <family val="2"/>
    </font>
    <font>
      <sz val="1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165" fontId="0" fillId="0" borderId="0" xfId="1" applyNumberFormat="1" applyFont="1"/>
    <xf numFmtId="0" fontId="2" fillId="0" borderId="0" xfId="0" applyFont="1"/>
    <xf numFmtId="0" fontId="3" fillId="0" borderId="0" xfId="0" applyFont="1"/>
    <xf numFmtId="9" fontId="0" fillId="0" borderId="0" xfId="0" applyNumberFormat="1"/>
    <xf numFmtId="0" fontId="6" fillId="0" borderId="0" xfId="0" applyFont="1" applyAlignment="1">
      <alignment horizontal="center"/>
    </xf>
    <xf numFmtId="10" fontId="0" fillId="0" borderId="0" xfId="1" applyNumberFormat="1" applyFont="1"/>
    <xf numFmtId="0" fontId="7" fillId="0" borderId="0" xfId="0" applyFont="1"/>
    <xf numFmtId="10" fontId="5" fillId="0" borderId="0" xfId="0" applyNumberFormat="1" applyFont="1"/>
    <xf numFmtId="9" fontId="8" fillId="0" borderId="0" xfId="0" applyNumberFormat="1" applyFont="1"/>
    <xf numFmtId="165" fontId="7" fillId="0" borderId="0" xfId="1" applyNumberFormat="1" applyFont="1"/>
    <xf numFmtId="2" fontId="7" fillId="0" borderId="0" xfId="0" applyNumberFormat="1" applyFont="1"/>
    <xf numFmtId="10" fontId="0" fillId="0" borderId="0" xfId="0" applyNumberFormat="1"/>
    <xf numFmtId="0" fontId="9" fillId="0" borderId="0" xfId="0" applyFont="1"/>
    <xf numFmtId="9" fontId="9" fillId="0" borderId="0" xfId="0" applyNumberFormat="1" applyFont="1"/>
    <xf numFmtId="10" fontId="9" fillId="0" borderId="0" xfId="1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  <xf numFmtId="2" fontId="10" fillId="0" borderId="0" xfId="0" applyNumberFormat="1" applyFont="1"/>
    <xf numFmtId="0" fontId="12" fillId="0" borderId="0" xfId="0" applyFont="1"/>
    <xf numFmtId="0" fontId="11" fillId="0" borderId="0" xfId="0" applyFont="1"/>
    <xf numFmtId="0" fontId="0" fillId="0" borderId="0" xfId="0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165" fontId="13" fillId="2" borderId="0" xfId="0" applyNumberFormat="1" applyFont="1" applyFill="1"/>
    <xf numFmtId="164" fontId="0" fillId="0" borderId="0" xfId="0" applyNumberFormat="1"/>
    <xf numFmtId="10" fontId="11" fillId="0" borderId="0" xfId="1" applyNumberFormat="1" applyFont="1"/>
    <xf numFmtId="9" fontId="0" fillId="0" borderId="0" xfId="1" applyFont="1" applyAlignment="1">
      <alignment horizontal="center"/>
    </xf>
    <xf numFmtId="166" fontId="0" fillId="0" borderId="0" xfId="0" applyNumberFormat="1"/>
    <xf numFmtId="167" fontId="0" fillId="0" borderId="0" xfId="0" applyNumberFormat="1"/>
    <xf numFmtId="1" fontId="0" fillId="0" borderId="0" xfId="1" applyNumberFormat="1" applyFont="1" applyAlignment="1">
      <alignment horizontal="right" vertical="center" indent="1"/>
    </xf>
    <xf numFmtId="1" fontId="0" fillId="0" borderId="0" xfId="0" applyNumberFormat="1"/>
    <xf numFmtId="0" fontId="0" fillId="2" borderId="0" xfId="0" applyFill="1"/>
    <xf numFmtId="168" fontId="0" fillId="0" borderId="0" xfId="0" applyNumberFormat="1"/>
    <xf numFmtId="9" fontId="12" fillId="0" borderId="0" xfId="0" applyNumberFormat="1" applyFont="1"/>
    <xf numFmtId="9" fontId="13" fillId="0" borderId="0" xfId="0" applyNumberFormat="1" applyFont="1"/>
    <xf numFmtId="0" fontId="13" fillId="0" borderId="0" xfId="0" applyFont="1"/>
    <xf numFmtId="168" fontId="14" fillId="3" borderId="0" xfId="0" applyNumberFormat="1" applyFont="1" applyFill="1"/>
    <xf numFmtId="168" fontId="13" fillId="0" borderId="0" xfId="0" applyNumberFormat="1" applyFont="1"/>
    <xf numFmtId="0" fontId="15" fillId="3" borderId="0" xfId="0" applyFont="1" applyFill="1"/>
    <xf numFmtId="165" fontId="12" fillId="0" borderId="0" xfId="0" applyNumberFormat="1" applyFont="1"/>
    <xf numFmtId="165" fontId="13" fillId="0" borderId="0" xfId="1" applyNumberFormat="1" applyFont="1"/>
    <xf numFmtId="2" fontId="12" fillId="0" borderId="0" xfId="0" applyNumberFormat="1" applyFont="1"/>
    <xf numFmtId="2" fontId="13" fillId="0" borderId="0" xfId="0" applyNumberFormat="1" applyFont="1"/>
    <xf numFmtId="164" fontId="12" fillId="0" borderId="0" xfId="0" applyNumberFormat="1" applyFont="1"/>
    <xf numFmtId="10" fontId="13" fillId="0" borderId="0" xfId="1" applyNumberFormat="1" applyFont="1"/>
    <xf numFmtId="171" fontId="0" fillId="0" borderId="0" xfId="0" applyNumberFormat="1"/>
    <xf numFmtId="12" fontId="0" fillId="0" borderId="0" xfId="1" applyNumberFormat="1" applyFont="1"/>
    <xf numFmtId="12" fontId="0" fillId="0" borderId="0" xfId="0" applyNumberFormat="1"/>
    <xf numFmtId="171" fontId="13" fillId="0" borderId="0" xfId="0" applyNumberFormat="1" applyFont="1"/>
    <xf numFmtId="171" fontId="16" fillId="0" borderId="0" xfId="0" applyNumberFormat="1" applyFont="1"/>
    <xf numFmtId="0" fontId="17" fillId="0" borderId="0" xfId="0" applyFont="1"/>
    <xf numFmtId="3" fontId="0" fillId="0" borderId="0" xfId="0" applyNumberFormat="1"/>
    <xf numFmtId="3" fontId="13" fillId="0" borderId="0" xfId="0" applyNumberFormat="1" applyFont="1"/>
    <xf numFmtId="164" fontId="13" fillId="0" borderId="0" xfId="0" applyNumberFormat="1" applyFont="1"/>
    <xf numFmtId="17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72" fontId="12" fillId="0" borderId="0" xfId="0" applyNumberFormat="1" applyFont="1"/>
    <xf numFmtId="169" fontId="0" fillId="2" borderId="0" xfId="0" applyNumberFormat="1" applyFill="1"/>
    <xf numFmtId="171" fontId="0" fillId="2" borderId="0" xfId="0" applyNumberFormat="1" applyFill="1"/>
    <xf numFmtId="2" fontId="0" fillId="0" borderId="0" xfId="1" applyNumberFormat="1" applyFont="1"/>
    <xf numFmtId="10" fontId="7" fillId="0" borderId="0" xfId="0" applyNumberFormat="1" applyFont="1"/>
    <xf numFmtId="164" fontId="0" fillId="2" borderId="0" xfId="0" applyNumberFormat="1" applyFill="1"/>
    <xf numFmtId="9" fontId="0" fillId="0" borderId="0" xfId="1" applyNumberFormat="1" applyFont="1"/>
    <xf numFmtId="2" fontId="0" fillId="2" borderId="0" xfId="0" applyNumberFormat="1" applyFill="1"/>
    <xf numFmtId="2" fontId="9" fillId="0" borderId="0" xfId="0" applyNumberFormat="1" applyFont="1" applyAlignment="1">
      <alignment horizontal="right"/>
    </xf>
    <xf numFmtId="2" fontId="9" fillId="0" borderId="0" xfId="0" applyNumberFormat="1" applyFont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'BETA CALC'!$B$1:$B$6</c:f>
              <c:numCache>
                <c:formatCode>0%</c:formatCode>
                <c:ptCount val="6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</c:numCache>
            </c:numRef>
          </c:xVal>
          <c:yVal>
            <c:numRef>
              <c:f>'BETA CALC'!$C$1:$C$6</c:f>
              <c:numCache>
                <c:formatCode>0.0%</c:formatCode>
                <c:ptCount val="6"/>
                <c:pt idx="0">
                  <c:v>8.0000000000000002E-3</c:v>
                </c:pt>
                <c:pt idx="1">
                  <c:v>1.7999999999999999E-2</c:v>
                </c:pt>
                <c:pt idx="2">
                  <c:v>-2E-3</c:v>
                </c:pt>
                <c:pt idx="3">
                  <c:v>-1.7999999999999999E-2</c:v>
                </c:pt>
                <c:pt idx="4">
                  <c:v>2E-3</c:v>
                </c:pt>
                <c:pt idx="5">
                  <c:v>-8.0000000000000002E-3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76192"/>
        <c:axId val="70375616"/>
      </c:scatterChart>
      <c:valAx>
        <c:axId val="7037619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70375616"/>
        <c:crosses val="autoZero"/>
        <c:crossBetween val="midCat"/>
      </c:valAx>
      <c:valAx>
        <c:axId val="7037561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0376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'BETA CALC'!$B$15:$B$20</c:f>
              <c:numCache>
                <c:formatCode>0%</c:formatCode>
                <c:ptCount val="6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</c:numCache>
            </c:numRef>
          </c:xVal>
          <c:yVal>
            <c:numRef>
              <c:f>'BETA CALC'!$C$15:$C$20</c:f>
              <c:numCache>
                <c:formatCode>0.0%</c:formatCode>
                <c:ptCount val="6"/>
                <c:pt idx="0">
                  <c:v>0.02</c:v>
                </c:pt>
                <c:pt idx="1">
                  <c:v>0</c:v>
                </c:pt>
                <c:pt idx="2">
                  <c:v>0.01</c:v>
                </c:pt>
                <c:pt idx="3">
                  <c:v>-0.01</c:v>
                </c:pt>
                <c:pt idx="4">
                  <c:v>0</c:v>
                </c:pt>
                <c:pt idx="5">
                  <c:v>-0.02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0608"/>
        <c:axId val="45181184"/>
      </c:scatterChart>
      <c:valAx>
        <c:axId val="4518060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45181184"/>
        <c:crosses val="autoZero"/>
        <c:crossBetween val="midCat"/>
      </c:valAx>
      <c:valAx>
        <c:axId val="451811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5180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  <c:spPr>
                <a:solidFill>
                  <a:schemeClr val="accent2">
                    <a:lumMod val="40000"/>
                    <a:lumOff val="60000"/>
                  </a:schemeClr>
                </a:solidFill>
              </c:spPr>
              <c:txPr>
                <a:bodyPr/>
                <a:lstStyle/>
                <a:p>
                  <a:pPr>
                    <a:defRPr sz="1100"/>
                  </a:pPr>
                  <a:endParaRPr lang="tr-TR"/>
                </a:p>
              </c:txPr>
            </c:trendlineLbl>
          </c:trendline>
          <c:xVal>
            <c:numRef>
              <c:f>'364'!$C$33:$C$42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-0.01</c:v>
                </c:pt>
                <c:pt idx="3">
                  <c:v>-0.01</c:v>
                </c:pt>
                <c:pt idx="4">
                  <c:v>0.01</c:v>
                </c:pt>
                <c:pt idx="5">
                  <c:v>0.01</c:v>
                </c:pt>
                <c:pt idx="6">
                  <c:v>0.02</c:v>
                </c:pt>
                <c:pt idx="7">
                  <c:v>0.02</c:v>
                </c:pt>
                <c:pt idx="8">
                  <c:v>-0.02</c:v>
                </c:pt>
                <c:pt idx="9">
                  <c:v>-0.02</c:v>
                </c:pt>
              </c:numCache>
            </c:numRef>
          </c:xVal>
          <c:yVal>
            <c:numRef>
              <c:f>'364'!$D$33:$D$42</c:f>
              <c:numCache>
                <c:formatCode>0%</c:formatCode>
                <c:ptCount val="10"/>
                <c:pt idx="0">
                  <c:v>0.01</c:v>
                </c:pt>
                <c:pt idx="1">
                  <c:v>-0.01</c:v>
                </c:pt>
                <c:pt idx="2" formatCode="0.0%">
                  <c:v>-2.5000000000000001E-2</c:v>
                </c:pt>
                <c:pt idx="3" formatCode="0.0%">
                  <c:v>-5.0000000000000001E-3</c:v>
                </c:pt>
                <c:pt idx="4">
                  <c:v>0.02</c:v>
                </c:pt>
                <c:pt idx="5">
                  <c:v>0.01</c:v>
                </c:pt>
                <c:pt idx="6">
                  <c:v>0.04</c:v>
                </c:pt>
                <c:pt idx="7">
                  <c:v>0.02</c:v>
                </c:pt>
                <c:pt idx="8">
                  <c:v>-0.02</c:v>
                </c:pt>
                <c:pt idx="9">
                  <c:v>-0.04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2912"/>
        <c:axId val="45183488"/>
      </c:scatterChart>
      <c:valAx>
        <c:axId val="4518291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45183488"/>
        <c:crosses val="autoZero"/>
        <c:crossBetween val="midCat"/>
      </c:valAx>
      <c:valAx>
        <c:axId val="451834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5182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'364'!$D$58:$D$62</c:f>
              <c:numCache>
                <c:formatCode>0%</c:formatCode>
                <c:ptCount val="5"/>
                <c:pt idx="0">
                  <c:v>0.14000000000000001</c:v>
                </c:pt>
                <c:pt idx="1">
                  <c:v>0.06</c:v>
                </c:pt>
                <c:pt idx="2">
                  <c:v>0.18</c:v>
                </c:pt>
                <c:pt idx="3">
                  <c:v>7.0000000000000007E-2</c:v>
                </c:pt>
                <c:pt idx="4">
                  <c:v>0.2</c:v>
                </c:pt>
              </c:numCache>
            </c:numRef>
          </c:xVal>
          <c:yVal>
            <c:numRef>
              <c:f>'364'!$E$58:$E$62</c:f>
              <c:numCache>
                <c:formatCode>0.00%</c:formatCode>
                <c:ptCount val="5"/>
                <c:pt idx="0">
                  <c:v>0.11000000000000001</c:v>
                </c:pt>
                <c:pt idx="1">
                  <c:v>0.04</c:v>
                </c:pt>
                <c:pt idx="2">
                  <c:v>0.18000000000000002</c:v>
                </c:pt>
                <c:pt idx="3">
                  <c:v>6.8000000000000005E-2</c:v>
                </c:pt>
                <c:pt idx="4">
                  <c:v>0.15200000000000002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5216"/>
        <c:axId val="45185792"/>
      </c:scatterChart>
      <c:valAx>
        <c:axId val="4518521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45185792"/>
        <c:crosses val="autoZero"/>
        <c:crossBetween val="midCat"/>
      </c:valAx>
      <c:valAx>
        <c:axId val="451857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5185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171450</xdr:rowOff>
    </xdr:from>
    <xdr:to>
      <xdr:col>14</xdr:col>
      <xdr:colOff>123825</xdr:colOff>
      <xdr:row>16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247650</xdr:colOff>
      <xdr:row>13</xdr:row>
      <xdr:rowOff>76200</xdr:rowOff>
    </xdr:from>
    <xdr:to>
      <xdr:col>13</xdr:col>
      <xdr:colOff>552450</xdr:colOff>
      <xdr:row>27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31</xdr:row>
      <xdr:rowOff>0</xdr:rowOff>
    </xdr:from>
    <xdr:to>
      <xdr:col>14</xdr:col>
      <xdr:colOff>438150</xdr:colOff>
      <xdr:row>45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409575</xdr:colOff>
      <xdr:row>52</xdr:row>
      <xdr:rowOff>38100</xdr:rowOff>
    </xdr:from>
    <xdr:to>
      <xdr:col>16</xdr:col>
      <xdr:colOff>66675</xdr:colOff>
      <xdr:row>61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13" workbookViewId="0">
      <selection activeCell="A24" sqref="A24"/>
    </sheetView>
  </sheetViews>
  <sheetFormatPr defaultRowHeight="15" x14ac:dyDescent="0.25"/>
  <sheetData>
    <row r="1" spans="1:5" x14ac:dyDescent="0.25">
      <c r="A1">
        <v>1</v>
      </c>
      <c r="B1" s="1">
        <v>0.01</v>
      </c>
      <c r="C1" s="2">
        <v>8.0000000000000002E-3</v>
      </c>
      <c r="E1">
        <f>SLOPE(C1:C6,B1:B6)</f>
        <v>0.79999999999999982</v>
      </c>
    </row>
    <row r="2" spans="1:5" x14ac:dyDescent="0.25">
      <c r="A2">
        <v>2</v>
      </c>
      <c r="B2" s="1">
        <v>0.01</v>
      </c>
      <c r="C2" s="2">
        <v>1.7999999999999999E-2</v>
      </c>
      <c r="E2" s="7">
        <f>_xlfn.STDEV.S(C1:C6)</f>
        <v>1.2521980673998821E-2</v>
      </c>
    </row>
    <row r="3" spans="1:5" x14ac:dyDescent="0.25">
      <c r="A3">
        <v>3</v>
      </c>
      <c r="B3" s="1">
        <v>0.01</v>
      </c>
      <c r="C3" s="2">
        <v>-2E-3</v>
      </c>
      <c r="E3">
        <f>STDEVA(C1:C6)</f>
        <v>1.2521980673998821E-2</v>
      </c>
    </row>
    <row r="4" spans="1:5" x14ac:dyDescent="0.25">
      <c r="A4">
        <v>4</v>
      </c>
      <c r="B4" s="1">
        <v>-0.01</v>
      </c>
      <c r="C4" s="2">
        <v>-1.7999999999999999E-2</v>
      </c>
    </row>
    <row r="5" spans="1:5" x14ac:dyDescent="0.25">
      <c r="A5">
        <v>5</v>
      </c>
      <c r="B5" s="1">
        <v>-0.01</v>
      </c>
      <c r="C5" s="2">
        <v>2E-3</v>
      </c>
    </row>
    <row r="6" spans="1:5" x14ac:dyDescent="0.25">
      <c r="A6">
        <v>6</v>
      </c>
      <c r="B6" s="1">
        <v>-0.01</v>
      </c>
      <c r="C6" s="2">
        <v>-8.0000000000000002E-3</v>
      </c>
    </row>
    <row r="15" spans="1:5" x14ac:dyDescent="0.25">
      <c r="A15">
        <v>1</v>
      </c>
      <c r="B15" s="1">
        <v>0.01</v>
      </c>
      <c r="C15" s="2">
        <v>0.02</v>
      </c>
      <c r="E15">
        <f>SLOPE(C15:C20,B15:B20)</f>
        <v>1</v>
      </c>
    </row>
    <row r="16" spans="1:5" x14ac:dyDescent="0.25">
      <c r="A16">
        <v>2</v>
      </c>
      <c r="B16" s="1">
        <v>0.01</v>
      </c>
      <c r="C16" s="2">
        <v>0</v>
      </c>
      <c r="E16" s="2">
        <f>_xlfn.STDEV.S(C15:C20)</f>
        <v>1.4142135623730951E-2</v>
      </c>
    </row>
    <row r="17" spans="1:5" x14ac:dyDescent="0.25">
      <c r="A17">
        <v>3</v>
      </c>
      <c r="B17" s="1">
        <v>0.01</v>
      </c>
      <c r="C17" s="2">
        <v>0.01</v>
      </c>
      <c r="E17" s="2">
        <f>STDEVA(C15:C20)</f>
        <v>1.4142135623730951E-2</v>
      </c>
    </row>
    <row r="18" spans="1:5" x14ac:dyDescent="0.25">
      <c r="A18">
        <v>4</v>
      </c>
      <c r="B18" s="1">
        <v>-0.01</v>
      </c>
      <c r="C18" s="2">
        <v>-0.01</v>
      </c>
    </row>
    <row r="19" spans="1:5" x14ac:dyDescent="0.25">
      <c r="A19">
        <v>5</v>
      </c>
      <c r="B19" s="1">
        <v>-0.01</v>
      </c>
      <c r="C19" s="2">
        <v>0</v>
      </c>
    </row>
    <row r="20" spans="1:5" x14ac:dyDescent="0.25">
      <c r="A20">
        <v>6</v>
      </c>
      <c r="B20" s="1">
        <v>-0.01</v>
      </c>
      <c r="C20" s="2">
        <v>-0.02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opLeftCell="A22" workbookViewId="0">
      <selection activeCell="D28" sqref="D28"/>
    </sheetView>
  </sheetViews>
  <sheetFormatPr defaultRowHeight="15" x14ac:dyDescent="0.25"/>
  <cols>
    <col min="7" max="8" width="9.7109375" bestFit="1" customWidth="1"/>
  </cols>
  <sheetData>
    <row r="1" spans="1:10" ht="23.25" x14ac:dyDescent="0.4">
      <c r="A1" s="8" t="s">
        <v>23</v>
      </c>
      <c r="B1" s="14" t="s">
        <v>24</v>
      </c>
      <c r="C1" s="15">
        <v>0.14000000000000001</v>
      </c>
      <c r="E1" s="4" t="s">
        <v>6</v>
      </c>
      <c r="G1" s="13" t="s">
        <v>25</v>
      </c>
    </row>
    <row r="2" spans="1:10" ht="18" x14ac:dyDescent="0.25">
      <c r="B2" s="3" t="s">
        <v>1</v>
      </c>
      <c r="C2">
        <v>0.6</v>
      </c>
      <c r="G2" t="s">
        <v>5</v>
      </c>
      <c r="H2" s="16">
        <f>(14%-4%)/0.6</f>
        <v>0.16666666666666669</v>
      </c>
      <c r="I2" s="2">
        <f>14%*0.6</f>
        <v>8.4000000000000005E-2</v>
      </c>
      <c r="J2" t="s">
        <v>26</v>
      </c>
    </row>
    <row r="3" spans="1:10" ht="23.25" x14ac:dyDescent="0.4">
      <c r="B3" s="4" t="s">
        <v>2</v>
      </c>
      <c r="C3" s="5">
        <v>0.04</v>
      </c>
      <c r="H3" s="16">
        <f>(14%-4%)/1.6</f>
        <v>6.25E-2</v>
      </c>
      <c r="I3" s="2">
        <f>14%*0.6</f>
        <v>8.4000000000000005E-2</v>
      </c>
      <c r="J3" t="s">
        <v>27</v>
      </c>
    </row>
    <row r="7" spans="1:10" ht="23.25" x14ac:dyDescent="0.4">
      <c r="A7" s="8" t="s">
        <v>0</v>
      </c>
      <c r="B7" s="3" t="s">
        <v>1</v>
      </c>
      <c r="C7">
        <v>0.4</v>
      </c>
      <c r="E7" s="4" t="s">
        <v>6</v>
      </c>
    </row>
    <row r="8" spans="1:10" ht="23.25" x14ac:dyDescent="0.4">
      <c r="B8" s="4" t="s">
        <v>2</v>
      </c>
      <c r="C8" s="5">
        <v>0.04</v>
      </c>
      <c r="E8" t="s">
        <v>7</v>
      </c>
    </row>
    <row r="9" spans="1:10" ht="23.25" x14ac:dyDescent="0.4">
      <c r="B9" s="4" t="s">
        <v>3</v>
      </c>
      <c r="C9" s="6" t="s">
        <v>4</v>
      </c>
      <c r="E9" t="s">
        <v>5</v>
      </c>
      <c r="F9" s="1">
        <f>7%/0.4</f>
        <v>0.17500000000000002</v>
      </c>
      <c r="G9" s="7">
        <f>7%/0.6</f>
        <v>0.11666666666666668</v>
      </c>
    </row>
    <row r="11" spans="1:10" x14ac:dyDescent="0.25">
      <c r="B11" t="s">
        <v>8</v>
      </c>
    </row>
    <row r="13" spans="1:10" ht="23.25" x14ac:dyDescent="0.4">
      <c r="A13" s="8" t="s">
        <v>9</v>
      </c>
      <c r="B13" s="3" t="s">
        <v>1</v>
      </c>
      <c r="C13">
        <v>1.25</v>
      </c>
      <c r="E13" s="4" t="s">
        <v>6</v>
      </c>
    </row>
    <row r="14" spans="1:10" ht="23.25" x14ac:dyDescent="0.4">
      <c r="B14" s="4" t="s">
        <v>2</v>
      </c>
      <c r="C14" s="5">
        <v>0.06</v>
      </c>
      <c r="E14" s="4" t="s">
        <v>10</v>
      </c>
      <c r="H14" s="9">
        <f>6%+1.25*(13%-6%)</f>
        <v>0.14750000000000002</v>
      </c>
    </row>
    <row r="15" spans="1:10" ht="24" x14ac:dyDescent="0.4">
      <c r="B15" s="4" t="s">
        <v>3</v>
      </c>
      <c r="C15" s="5">
        <v>0.13</v>
      </c>
      <c r="E15" s="4"/>
      <c r="H15" s="10">
        <v>0.16</v>
      </c>
    </row>
    <row r="16" spans="1:10" x14ac:dyDescent="0.25">
      <c r="H16" t="s">
        <v>11</v>
      </c>
    </row>
    <row r="19" spans="1:10" ht="18.75" x14ac:dyDescent="0.3">
      <c r="A19" s="8" t="s">
        <v>12</v>
      </c>
      <c r="B19" s="3" t="s">
        <v>1</v>
      </c>
      <c r="C19">
        <v>0.8</v>
      </c>
    </row>
    <row r="20" spans="1:10" ht="23.25" x14ac:dyDescent="0.4">
      <c r="B20" s="4" t="s">
        <v>2</v>
      </c>
      <c r="G20" s="4" t="s">
        <v>6</v>
      </c>
    </row>
    <row r="21" spans="1:10" ht="23.25" x14ac:dyDescent="0.4">
      <c r="B21" s="4" t="s">
        <v>3</v>
      </c>
      <c r="C21" s="5">
        <v>0.12</v>
      </c>
      <c r="G21" t="s">
        <v>15</v>
      </c>
      <c r="J21" s="2">
        <f>14%*0.8</f>
        <v>0.11200000000000002</v>
      </c>
    </row>
    <row r="22" spans="1:10" ht="23.25" x14ac:dyDescent="0.4">
      <c r="B22" s="4" t="s">
        <v>13</v>
      </c>
      <c r="C22" s="5">
        <v>0.14000000000000001</v>
      </c>
      <c r="D22" t="s">
        <v>14</v>
      </c>
      <c r="E22" s="5">
        <v>0.1</v>
      </c>
      <c r="I22" s="4" t="s">
        <v>2</v>
      </c>
      <c r="J22" s="2">
        <f>(12%-11.2%)/0.2</f>
        <v>4.0000000000000036E-2</v>
      </c>
    </row>
    <row r="23" spans="1:10" ht="23.25" x14ac:dyDescent="0.4">
      <c r="G23" s="4" t="s">
        <v>6</v>
      </c>
      <c r="I23" s="4" t="s">
        <v>3</v>
      </c>
      <c r="J23" s="11">
        <f>4%+0.8*(10%-4%)</f>
        <v>8.8000000000000009E-2</v>
      </c>
    </row>
    <row r="26" spans="1:10" ht="18.75" x14ac:dyDescent="0.3">
      <c r="A26" s="8" t="s">
        <v>16</v>
      </c>
      <c r="B26" t="s">
        <v>18</v>
      </c>
      <c r="C26" t="s">
        <v>19</v>
      </c>
      <c r="D26">
        <v>2.5299999999999998</v>
      </c>
      <c r="E26">
        <v>1.1599999999999999</v>
      </c>
      <c r="F26">
        <v>0.59</v>
      </c>
    </row>
    <row r="27" spans="1:10" ht="18.75" x14ac:dyDescent="0.3">
      <c r="A27" s="8"/>
      <c r="D27" s="18">
        <v>0.77400000000000002</v>
      </c>
      <c r="E27" s="18">
        <v>0.23699999999999999</v>
      </c>
      <c r="F27" s="18">
        <v>0.38500000000000001</v>
      </c>
    </row>
    <row r="28" spans="1:10" ht="18.75" x14ac:dyDescent="0.3">
      <c r="A28" s="8"/>
      <c r="D28" s="19">
        <f>D26*D27</f>
        <v>1.9582199999999998</v>
      </c>
      <c r="E28" s="19">
        <f t="shared" ref="E28:F28" si="0">E26*E27</f>
        <v>0.27491999999999994</v>
      </c>
      <c r="F28" s="20">
        <f t="shared" si="0"/>
        <v>0.22714999999999999</v>
      </c>
    </row>
    <row r="29" spans="1:10" ht="18.75" x14ac:dyDescent="0.3">
      <c r="A29" s="8"/>
      <c r="B29" t="s">
        <v>20</v>
      </c>
      <c r="C29" t="s">
        <v>21</v>
      </c>
    </row>
    <row r="30" spans="1:10" ht="18.75" x14ac:dyDescent="0.3">
      <c r="A30" s="8"/>
      <c r="B30" t="s">
        <v>22</v>
      </c>
      <c r="C30">
        <v>2.5299999999999998</v>
      </c>
      <c r="D30">
        <v>1.1599999999999999</v>
      </c>
      <c r="E30">
        <v>0.59</v>
      </c>
      <c r="F30">
        <f>SUM(C30:E30)</f>
        <v>4.2799999999999994</v>
      </c>
      <c r="G30" s="12">
        <f>F30/3</f>
        <v>1.4266666666666665</v>
      </c>
    </row>
    <row r="32" spans="1:10" ht="18.75" x14ac:dyDescent="0.3">
      <c r="A32" s="8" t="s">
        <v>17</v>
      </c>
      <c r="B32" t="s">
        <v>28</v>
      </c>
      <c r="C32" t="s">
        <v>29</v>
      </c>
      <c r="D32" t="s">
        <v>30</v>
      </c>
    </row>
    <row r="33" spans="2:6" ht="18" x14ac:dyDescent="0.25">
      <c r="B33" s="17">
        <v>1</v>
      </c>
      <c r="C33" s="1">
        <v>0</v>
      </c>
      <c r="D33" s="1">
        <v>0.01</v>
      </c>
      <c r="E33" s="3" t="s">
        <v>1</v>
      </c>
      <c r="F33" s="22">
        <f>SLOPE(D33:D42,C33:C42)</f>
        <v>1.5</v>
      </c>
    </row>
    <row r="34" spans="2:6" x14ac:dyDescent="0.25">
      <c r="B34" s="17">
        <v>2</v>
      </c>
      <c r="C34" s="1">
        <v>0</v>
      </c>
      <c r="D34" s="1">
        <v>-0.01</v>
      </c>
    </row>
    <row r="35" spans="2:6" x14ac:dyDescent="0.25">
      <c r="B35" s="17">
        <v>3</v>
      </c>
      <c r="C35" s="1">
        <v>-0.01</v>
      </c>
      <c r="D35" s="2">
        <v>-2.5000000000000001E-2</v>
      </c>
    </row>
    <row r="36" spans="2:6" x14ac:dyDescent="0.25">
      <c r="B36" s="17">
        <v>4</v>
      </c>
      <c r="C36" s="1">
        <v>-0.01</v>
      </c>
      <c r="D36" s="2">
        <v>-5.0000000000000001E-3</v>
      </c>
    </row>
    <row r="37" spans="2:6" x14ac:dyDescent="0.25">
      <c r="B37" s="17">
        <v>5</v>
      </c>
      <c r="C37" s="1">
        <v>0.01</v>
      </c>
      <c r="D37" s="1">
        <v>0.02</v>
      </c>
    </row>
    <row r="38" spans="2:6" x14ac:dyDescent="0.25">
      <c r="B38" s="17">
        <v>6</v>
      </c>
      <c r="C38" s="1">
        <v>0.01</v>
      </c>
      <c r="D38" s="1">
        <v>0.01</v>
      </c>
    </row>
    <row r="39" spans="2:6" x14ac:dyDescent="0.25">
      <c r="B39" s="17">
        <v>7</v>
      </c>
      <c r="C39" s="1">
        <v>0.02</v>
      </c>
      <c r="D39" s="1">
        <v>0.04</v>
      </c>
    </row>
    <row r="40" spans="2:6" x14ac:dyDescent="0.25">
      <c r="B40" s="17">
        <v>8</v>
      </c>
      <c r="C40" s="1">
        <v>0.02</v>
      </c>
      <c r="D40" s="1">
        <v>0.02</v>
      </c>
    </row>
    <row r="41" spans="2:6" x14ac:dyDescent="0.25">
      <c r="B41" s="17">
        <v>9</v>
      </c>
      <c r="C41" s="1">
        <v>-0.02</v>
      </c>
      <c r="D41" s="1">
        <v>-0.02</v>
      </c>
    </row>
    <row r="42" spans="2:6" x14ac:dyDescent="0.25">
      <c r="B42" s="17">
        <v>10</v>
      </c>
      <c r="C42" s="1">
        <v>-0.02</v>
      </c>
      <c r="D42" s="1">
        <v>-0.04</v>
      </c>
      <c r="E42" s="2">
        <f>STDEVA(D33:D42)</f>
        <v>2.4381231397212991E-2</v>
      </c>
    </row>
    <row r="43" spans="2:6" x14ac:dyDescent="0.25">
      <c r="B43" s="17"/>
    </row>
    <row r="44" spans="2:6" x14ac:dyDescent="0.25">
      <c r="B44" s="17"/>
    </row>
    <row r="49" spans="1:7" ht="18.75" x14ac:dyDescent="0.3">
      <c r="A49" s="8" t="s">
        <v>31</v>
      </c>
      <c r="C49" s="23" t="s">
        <v>29</v>
      </c>
      <c r="D49" s="23" t="s">
        <v>34</v>
      </c>
      <c r="E49" s="23" t="s">
        <v>35</v>
      </c>
      <c r="F49" s="3"/>
    </row>
    <row r="50" spans="1:7" ht="18" x14ac:dyDescent="0.25">
      <c r="B50" s="21" t="s">
        <v>33</v>
      </c>
      <c r="C50" s="24">
        <v>-0.08</v>
      </c>
      <c r="D50" s="24">
        <v>-0.1</v>
      </c>
      <c r="E50" s="24">
        <v>-0.06</v>
      </c>
      <c r="F50" s="3" t="s">
        <v>36</v>
      </c>
      <c r="G50">
        <f>SLOPE(D50:D51,C50:C51)</f>
        <v>1.1999999999999997</v>
      </c>
    </row>
    <row r="51" spans="1:7" ht="18" x14ac:dyDescent="0.25">
      <c r="B51" t="s">
        <v>32</v>
      </c>
      <c r="C51" s="24">
        <v>0.32</v>
      </c>
      <c r="D51" s="24">
        <v>0.38</v>
      </c>
      <c r="E51" s="24">
        <v>0.24</v>
      </c>
      <c r="F51" s="3" t="s">
        <v>37</v>
      </c>
      <c r="G51">
        <f>SLOPE(E50:E51,C50:C51)</f>
        <v>0.74999999999999978</v>
      </c>
    </row>
    <row r="52" spans="1:7" x14ac:dyDescent="0.25">
      <c r="C52" s="5">
        <f>AVERAGE(C50,C51)</f>
        <v>0.12</v>
      </c>
      <c r="D52" s="5">
        <f t="shared" ref="D52:E52" si="1">AVERAGE(D50,D51)</f>
        <v>0.14000000000000001</v>
      </c>
      <c r="E52" s="5">
        <f t="shared" si="1"/>
        <v>0.09</v>
      </c>
    </row>
    <row r="53" spans="1:7" x14ac:dyDescent="0.25">
      <c r="C53" s="1"/>
      <c r="D53" s="1">
        <v>0.04</v>
      </c>
      <c r="E53" s="1">
        <v>0.04</v>
      </c>
    </row>
    <row r="54" spans="1:7" ht="15.75" x14ac:dyDescent="0.25">
      <c r="C54" s="5"/>
      <c r="D54" s="25">
        <f>D53+1.2*(C52-D53)</f>
        <v>0.13599999999999998</v>
      </c>
      <c r="E54" s="25">
        <f>E53+0.75*(C52-E53)</f>
        <v>9.9999999999999992E-2</v>
      </c>
    </row>
    <row r="56" spans="1:7" x14ac:dyDescent="0.25">
      <c r="F56" s="17" t="s">
        <v>43</v>
      </c>
      <c r="G56" s="17" t="s">
        <v>43</v>
      </c>
    </row>
    <row r="57" spans="1:7" ht="18.75" x14ac:dyDescent="0.3">
      <c r="A57" s="8" t="s">
        <v>38</v>
      </c>
      <c r="B57" s="17" t="s">
        <v>42</v>
      </c>
      <c r="C57" s="17" t="s">
        <v>43</v>
      </c>
      <c r="D57" s="17" t="s">
        <v>24</v>
      </c>
      <c r="E57" s="17" t="s">
        <v>49</v>
      </c>
      <c r="F57">
        <v>0.75</v>
      </c>
      <c r="G57">
        <v>1.75</v>
      </c>
    </row>
    <row r="58" spans="1:7" ht="18.75" x14ac:dyDescent="0.3">
      <c r="A58" s="8"/>
      <c r="B58" s="17" t="s">
        <v>48</v>
      </c>
      <c r="C58" s="17">
        <v>1</v>
      </c>
      <c r="D58" s="28">
        <v>0.14000000000000001</v>
      </c>
      <c r="E58" s="13">
        <f>4%+C58*7%</f>
        <v>0.11000000000000001</v>
      </c>
      <c r="F58" s="13">
        <f>4%+0.75*7%</f>
        <v>9.2499999999999999E-2</v>
      </c>
      <c r="G58" s="13">
        <f>4%+1.75*7%</f>
        <v>0.16250000000000001</v>
      </c>
    </row>
    <row r="59" spans="1:7" ht="18.75" x14ac:dyDescent="0.3">
      <c r="A59" s="8"/>
      <c r="B59" s="17" t="s">
        <v>44</v>
      </c>
      <c r="C59" s="17">
        <v>0</v>
      </c>
      <c r="D59" s="28">
        <v>0.06</v>
      </c>
      <c r="E59" s="13">
        <f t="shared" ref="E59:E62" si="2">4%+C59*7%</f>
        <v>0.04</v>
      </c>
      <c r="F59" s="13"/>
    </row>
    <row r="60" spans="1:7" ht="18.75" x14ac:dyDescent="0.3">
      <c r="A60" s="8"/>
      <c r="B60" s="17" t="s">
        <v>45</v>
      </c>
      <c r="C60" s="17">
        <v>2</v>
      </c>
      <c r="D60" s="28">
        <v>0.18</v>
      </c>
      <c r="E60" s="13">
        <f t="shared" si="2"/>
        <v>0.18000000000000002</v>
      </c>
      <c r="F60" s="13"/>
    </row>
    <row r="61" spans="1:7" ht="18.75" x14ac:dyDescent="0.3">
      <c r="A61" s="8"/>
      <c r="B61" s="17" t="s">
        <v>46</v>
      </c>
      <c r="C61" s="17">
        <v>0.4</v>
      </c>
      <c r="D61" s="28">
        <v>7.0000000000000007E-2</v>
      </c>
      <c r="E61" s="13">
        <f t="shared" si="2"/>
        <v>6.8000000000000005E-2</v>
      </c>
      <c r="F61" s="13"/>
    </row>
    <row r="62" spans="1:7" ht="18.75" x14ac:dyDescent="0.3">
      <c r="A62" s="8"/>
      <c r="B62" s="17" t="s">
        <v>47</v>
      </c>
      <c r="C62" s="17">
        <v>1.6</v>
      </c>
      <c r="D62" s="28">
        <v>0.2</v>
      </c>
      <c r="E62" s="13">
        <f t="shared" si="2"/>
        <v>0.15200000000000002</v>
      </c>
      <c r="F62" s="13"/>
    </row>
    <row r="63" spans="1:7" ht="18.75" x14ac:dyDescent="0.3">
      <c r="A63" s="8"/>
      <c r="B63" s="8" t="s">
        <v>40</v>
      </c>
      <c r="C63" s="5">
        <v>0.04</v>
      </c>
    </row>
    <row r="64" spans="1:7" ht="18.75" x14ac:dyDescent="0.3">
      <c r="A64" s="8"/>
      <c r="B64" s="8" t="s">
        <v>5</v>
      </c>
      <c r="C64" s="5">
        <v>7.0000000000000007E-2</v>
      </c>
    </row>
    <row r="65" spans="1:20" ht="18.75" x14ac:dyDescent="0.3">
      <c r="A65" s="8"/>
      <c r="E65">
        <v>1</v>
      </c>
      <c r="F65">
        <v>2</v>
      </c>
      <c r="G65">
        <v>3</v>
      </c>
      <c r="H65">
        <v>4</v>
      </c>
      <c r="I65">
        <v>5</v>
      </c>
      <c r="J65">
        <v>6</v>
      </c>
      <c r="K65">
        <v>7</v>
      </c>
      <c r="L65">
        <v>8</v>
      </c>
      <c r="M65">
        <v>9</v>
      </c>
      <c r="N65">
        <v>10</v>
      </c>
    </row>
    <row r="66" spans="1:20" ht="18.75" x14ac:dyDescent="0.3">
      <c r="A66" s="8" t="s">
        <v>39</v>
      </c>
      <c r="B66" s="26">
        <f>PV(12%,10,15)</f>
        <v>-84.753345426163008</v>
      </c>
      <c r="D66">
        <v>-100</v>
      </c>
      <c r="E66">
        <v>15</v>
      </c>
      <c r="F66">
        <v>15</v>
      </c>
      <c r="G66">
        <v>15</v>
      </c>
      <c r="H66">
        <v>15</v>
      </c>
      <c r="I66">
        <v>15</v>
      </c>
      <c r="J66">
        <v>15</v>
      </c>
      <c r="K66">
        <v>15</v>
      </c>
      <c r="L66">
        <v>15</v>
      </c>
      <c r="M66">
        <v>15</v>
      </c>
      <c r="N66">
        <v>15</v>
      </c>
      <c r="O66" s="13"/>
      <c r="R66" s="2">
        <f>12%*1.4</f>
        <v>0.16799999999999998</v>
      </c>
      <c r="S66" s="1"/>
      <c r="T66" s="1"/>
    </row>
    <row r="67" spans="1:20" x14ac:dyDescent="0.25">
      <c r="D67">
        <f>100-25.29</f>
        <v>74.710000000000008</v>
      </c>
      <c r="O67" s="13">
        <f>RATE(10,15,-D67)</f>
        <v>0.15200417478787465</v>
      </c>
      <c r="R67" s="2">
        <f>8%*1.4</f>
        <v>0.11199999999999999</v>
      </c>
      <c r="S67" s="2">
        <v>0.04</v>
      </c>
      <c r="T67" s="2">
        <f>SUM(R67:S67)</f>
        <v>0.152</v>
      </c>
    </row>
    <row r="68" spans="1:20" x14ac:dyDescent="0.25">
      <c r="B68">
        <v>-25.29</v>
      </c>
      <c r="D68">
        <f>SUM(D66:D67)</f>
        <v>-25.289999999999992</v>
      </c>
      <c r="O68" s="13"/>
    </row>
    <row r="69" spans="1:20" x14ac:dyDescent="0.25">
      <c r="D69">
        <v>-74.709999999999994</v>
      </c>
      <c r="E69">
        <v>15</v>
      </c>
      <c r="F69">
        <v>15</v>
      </c>
      <c r="G69">
        <v>15</v>
      </c>
      <c r="H69">
        <v>15</v>
      </c>
      <c r="I69">
        <v>15</v>
      </c>
      <c r="J69">
        <v>15</v>
      </c>
      <c r="K69">
        <v>15</v>
      </c>
      <c r="L69">
        <v>15</v>
      </c>
      <c r="M69">
        <v>15</v>
      </c>
      <c r="N69">
        <v>15</v>
      </c>
      <c r="O69" s="13">
        <f t="shared" ref="O69" si="3">IRR(D69:N69)</f>
        <v>0.15200417478750761</v>
      </c>
    </row>
    <row r="71" spans="1:20" ht="23.25" x14ac:dyDescent="0.4">
      <c r="D71" s="4" t="s">
        <v>6</v>
      </c>
      <c r="G71" s="8" t="s">
        <v>5</v>
      </c>
      <c r="H71" s="5">
        <v>0.08</v>
      </c>
      <c r="J71" s="4" t="s">
        <v>41</v>
      </c>
      <c r="L71" s="27">
        <f>4%+ 1.4*8%</f>
        <v>0.152</v>
      </c>
    </row>
    <row r="72" spans="1:20" ht="18.75" x14ac:dyDescent="0.3">
      <c r="G72" s="8" t="s">
        <v>40</v>
      </c>
      <c r="H72" s="5">
        <v>0.04</v>
      </c>
    </row>
    <row r="73" spans="1:20" x14ac:dyDescent="0.25">
      <c r="H73" s="5">
        <v>0.12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K8" sqref="K8"/>
    </sheetView>
  </sheetViews>
  <sheetFormatPr defaultRowHeight="15" x14ac:dyDescent="0.25"/>
  <cols>
    <col min="2" max="3" width="10.42578125" bestFit="1" customWidth="1"/>
    <col min="4" max="4" width="11.28515625" bestFit="1" customWidth="1"/>
    <col min="5" max="5" width="11.85546875" bestFit="1" customWidth="1"/>
    <col min="6" max="6" width="8.5703125" bestFit="1" customWidth="1"/>
    <col min="7" max="7" width="10.140625" bestFit="1" customWidth="1"/>
    <col min="12" max="14" width="10.42578125" bestFit="1" customWidth="1"/>
  </cols>
  <sheetData>
    <row r="1" spans="1:10" x14ac:dyDescent="0.25">
      <c r="A1" t="s">
        <v>52</v>
      </c>
      <c r="B1" s="1">
        <f>80/1000</f>
        <v>0.08</v>
      </c>
      <c r="C1" s="29">
        <f>RATE(6,80,-950,1000)</f>
        <v>9.1185411159067073E-2</v>
      </c>
    </row>
    <row r="2" spans="1:10" x14ac:dyDescent="0.25">
      <c r="A2" t="s">
        <v>23</v>
      </c>
      <c r="B2" s="19">
        <f>1000*C1</f>
        <v>91.185411159067073</v>
      </c>
    </row>
    <row r="4" spans="1:10" x14ac:dyDescent="0.25">
      <c r="A4" t="s">
        <v>0</v>
      </c>
      <c r="B4" t="s">
        <v>50</v>
      </c>
      <c r="D4" s="7">
        <f>1000*0.08/1100</f>
        <v>7.2727272727272724E-2</v>
      </c>
    </row>
    <row r="5" spans="1:10" x14ac:dyDescent="0.25">
      <c r="B5" t="s">
        <v>51</v>
      </c>
      <c r="D5" s="13">
        <f>RATE(8,1000*0.08,-1100,1000)</f>
        <v>6.3662211540162938E-2</v>
      </c>
    </row>
    <row r="6" spans="1:10" x14ac:dyDescent="0.25">
      <c r="A6" t="s">
        <v>9</v>
      </c>
      <c r="B6">
        <f>1000*9.25%</f>
        <v>92.5</v>
      </c>
    </row>
    <row r="7" spans="1:10" x14ac:dyDescent="0.25">
      <c r="A7" t="s">
        <v>12</v>
      </c>
      <c r="B7" s="7">
        <f>8.75/144.19</f>
        <v>6.0683819959775301E-2</v>
      </c>
      <c r="D7" s="30">
        <f>RATE(2020-2010,8.75,-144.19,100)</f>
        <v>3.4499339116591636E-2</v>
      </c>
    </row>
    <row r="8" spans="1:10" x14ac:dyDescent="0.25">
      <c r="A8" t="s">
        <v>16</v>
      </c>
      <c r="D8">
        <v>0</v>
      </c>
      <c r="E8">
        <v>1</v>
      </c>
      <c r="G8" t="s">
        <v>53</v>
      </c>
    </row>
    <row r="9" spans="1:10" x14ac:dyDescent="0.25">
      <c r="B9" s="5">
        <v>0.08</v>
      </c>
      <c r="C9">
        <v>80</v>
      </c>
      <c r="D9" s="26">
        <f>PV(10%,10,80,1000)*-1</f>
        <v>877.10865788590638</v>
      </c>
      <c r="E9" s="26">
        <f>PV(10%,9,80,1000)*-1</f>
        <v>884.81952367449696</v>
      </c>
      <c r="F9" s="26">
        <f>E9-D9</f>
        <v>7.7108657885905814</v>
      </c>
      <c r="G9" s="2">
        <f>(C9+F9)/D9</f>
        <v>9.9999999999999936E-2</v>
      </c>
      <c r="H9" s="26">
        <f>C9+F9</f>
        <v>87.710865788590581</v>
      </c>
      <c r="J9" s="1">
        <f>80/D9+F9/D9</f>
        <v>9.9999999999999936E-2</v>
      </c>
    </row>
    <row r="10" spans="1:10" x14ac:dyDescent="0.25">
      <c r="B10" s="5">
        <v>0.12</v>
      </c>
      <c r="C10">
        <v>120</v>
      </c>
      <c r="D10" s="26">
        <f>PV(10%,10,120,1000)*-1</f>
        <v>1122.8913421140937</v>
      </c>
      <c r="E10" s="26">
        <f>PV(10%,9,120,1000)*-1</f>
        <v>1115.1804763255032</v>
      </c>
      <c r="F10" s="26">
        <f>E10-D10</f>
        <v>-7.7108657885905814</v>
      </c>
      <c r="G10" s="2">
        <f>(C10+F10)/D10</f>
        <v>0.10000000000000005</v>
      </c>
      <c r="H10" s="26">
        <f>C10+F10</f>
        <v>112.28913421140942</v>
      </c>
      <c r="J10" s="1">
        <f>C10/D10+F10/D10</f>
        <v>0.10000000000000005</v>
      </c>
    </row>
    <row r="12" spans="1:10" x14ac:dyDescent="0.25">
      <c r="A12" t="s">
        <v>17</v>
      </c>
      <c r="B12" t="s">
        <v>54</v>
      </c>
      <c r="C12" s="26">
        <f>PV(8%,7,80,1000)</f>
        <v>-1000</v>
      </c>
    </row>
    <row r="13" spans="1:10" x14ac:dyDescent="0.25">
      <c r="B13" t="s">
        <v>55</v>
      </c>
      <c r="C13" s="7">
        <f>(80-100)/1100</f>
        <v>-1.8181818181818181E-2</v>
      </c>
    </row>
    <row r="14" spans="1:10" x14ac:dyDescent="0.25">
      <c r="B14" t="s">
        <v>56</v>
      </c>
      <c r="C14" s="7">
        <f>(C13-3%)/1.03</f>
        <v>-4.6778464254192409E-2</v>
      </c>
      <c r="D14" s="19"/>
      <c r="F14" s="19"/>
      <c r="G14" s="31"/>
    </row>
    <row r="16" spans="1:10" x14ac:dyDescent="0.25">
      <c r="A16" t="s">
        <v>57</v>
      </c>
      <c r="B16" s="5">
        <v>0.09</v>
      </c>
      <c r="C16" t="s">
        <v>60</v>
      </c>
    </row>
    <row r="17" spans="1:6" x14ac:dyDescent="0.25">
      <c r="B17" s="5">
        <v>0.1</v>
      </c>
      <c r="C17" t="s">
        <v>59</v>
      </c>
    </row>
    <row r="18" spans="1:6" x14ac:dyDescent="0.25">
      <c r="B18" s="30">
        <v>9.8375000000000004E-2</v>
      </c>
      <c r="C18" t="s">
        <v>58</v>
      </c>
    </row>
    <row r="19" spans="1:6" x14ac:dyDescent="0.25">
      <c r="C19" t="s">
        <v>61</v>
      </c>
      <c r="D19" s="32">
        <f>NPER(10%,90,-D20,1000)</f>
        <v>19.998433719596729</v>
      </c>
    </row>
    <row r="20" spans="1:6" x14ac:dyDescent="0.25">
      <c r="C20" t="s">
        <v>62</v>
      </c>
      <c r="D20" s="32">
        <f>90/B18</f>
        <v>914.86658195679797</v>
      </c>
    </row>
    <row r="22" spans="1:6" x14ac:dyDescent="0.25">
      <c r="A22" t="s">
        <v>63</v>
      </c>
      <c r="B22" t="s">
        <v>60</v>
      </c>
      <c r="E22" s="26">
        <f>PMT(7%,9,-D26,1000)</f>
        <v>79.99964352951821</v>
      </c>
      <c r="F22" s="1">
        <f>E22/1000</f>
        <v>7.9999643529518216E-2</v>
      </c>
    </row>
    <row r="23" spans="1:6" x14ac:dyDescent="0.25">
      <c r="B23" t="s">
        <v>59</v>
      </c>
      <c r="D23" s="5">
        <v>7.0000000000000007E-2</v>
      </c>
      <c r="F23" s="1"/>
    </row>
    <row r="24" spans="1:6" x14ac:dyDescent="0.25">
      <c r="B24" t="s">
        <v>58</v>
      </c>
    </row>
    <row r="25" spans="1:6" x14ac:dyDescent="0.25">
      <c r="B25" t="s">
        <v>61</v>
      </c>
      <c r="D25">
        <v>9</v>
      </c>
    </row>
    <row r="26" spans="1:6" x14ac:dyDescent="0.25">
      <c r="B26" t="s">
        <v>62</v>
      </c>
      <c r="D26">
        <v>1065.1500000000001</v>
      </c>
    </row>
    <row r="29" spans="1:6" x14ac:dyDescent="0.25">
      <c r="A29" t="s">
        <v>64</v>
      </c>
      <c r="B29" t="s">
        <v>59</v>
      </c>
      <c r="D29" s="5">
        <v>7.0000000000000007E-2</v>
      </c>
      <c r="E29" s="5">
        <v>0.15</v>
      </c>
    </row>
    <row r="30" spans="1:6" x14ac:dyDescent="0.25">
      <c r="B30" t="s">
        <v>65</v>
      </c>
      <c r="D30">
        <v>8</v>
      </c>
    </row>
    <row r="31" spans="1:6" x14ac:dyDescent="0.25">
      <c r="B31" s="33" t="s">
        <v>62</v>
      </c>
      <c r="C31" s="33"/>
      <c r="E31" s="26">
        <f>PV(0.15,8,70,1000)</f>
        <v>-641.01427938462268</v>
      </c>
    </row>
    <row r="32" spans="1:6" x14ac:dyDescent="0.25">
      <c r="B32" s="33" t="s">
        <v>59</v>
      </c>
      <c r="C32" s="33"/>
      <c r="E32" s="13">
        <f>RATE(8,70,E31,800)</f>
        <v>0.12873377962455612</v>
      </c>
    </row>
    <row r="34" spans="1:15" x14ac:dyDescent="0.25">
      <c r="A34" t="s">
        <v>66</v>
      </c>
      <c r="B34" t="s">
        <v>59</v>
      </c>
      <c r="E34" s="29">
        <f>RATE(9,80,-1200,1000)</f>
        <v>5.1654324271165564E-2</v>
      </c>
    </row>
    <row r="35" spans="1:15" x14ac:dyDescent="0.25">
      <c r="B35" t="s">
        <v>67</v>
      </c>
      <c r="D35" t="s">
        <v>68</v>
      </c>
      <c r="E35">
        <v>80</v>
      </c>
    </row>
    <row r="36" spans="1:15" x14ac:dyDescent="0.25">
      <c r="D36" t="s">
        <v>69</v>
      </c>
      <c r="E36">
        <f>1200-980</f>
        <v>220</v>
      </c>
    </row>
    <row r="37" spans="1:15" x14ac:dyDescent="0.25">
      <c r="E37" s="32">
        <f>E35+E36</f>
        <v>300</v>
      </c>
      <c r="G37" s="7">
        <f>E37/980</f>
        <v>0.30612244897959184</v>
      </c>
    </row>
    <row r="39" spans="1:15" x14ac:dyDescent="0.25">
      <c r="A39" t="s">
        <v>70</v>
      </c>
      <c r="B39" t="s">
        <v>68</v>
      </c>
      <c r="D39">
        <v>80</v>
      </c>
    </row>
    <row r="40" spans="1:15" x14ac:dyDescent="0.25">
      <c r="B40" t="s">
        <v>69</v>
      </c>
      <c r="D40" s="26">
        <f>D41-D42</f>
        <v>-76.012945143829143</v>
      </c>
      <c r="E40" s="19">
        <f>SUM(D39:D40)</f>
        <v>3.9870548561708574</v>
      </c>
      <c r="F40" s="7">
        <f>E40/D41*-1</f>
        <v>4.3875768089412862E-3</v>
      </c>
      <c r="G40" s="7"/>
      <c r="H40" s="19">
        <f>832.7-908.71+80</f>
        <v>3.9900000000000091</v>
      </c>
    </row>
    <row r="41" spans="1:15" x14ac:dyDescent="0.25">
      <c r="B41" t="s">
        <v>62</v>
      </c>
      <c r="D41" s="26">
        <f>PV(0.09,20,80,1000)</f>
        <v>-908.71454330914071</v>
      </c>
      <c r="H41">
        <f>H40/908</f>
        <v>4.3942731277533138E-3</v>
      </c>
    </row>
    <row r="42" spans="1:15" x14ac:dyDescent="0.25">
      <c r="B42" t="s">
        <v>62</v>
      </c>
      <c r="D42" s="26">
        <f>PV(0.1,19,80,1000)</f>
        <v>-832.70159816531157</v>
      </c>
    </row>
    <row r="44" spans="1:15" x14ac:dyDescent="0.25">
      <c r="A44" t="s">
        <v>71</v>
      </c>
      <c r="B44" t="s">
        <v>60</v>
      </c>
      <c r="D44" s="5">
        <v>0.08</v>
      </c>
      <c r="E44" s="5">
        <v>0.08</v>
      </c>
      <c r="F44" s="5">
        <v>0.08</v>
      </c>
    </row>
    <row r="45" spans="1:15" x14ac:dyDescent="0.25">
      <c r="B45" t="s">
        <v>72</v>
      </c>
      <c r="D45">
        <v>4</v>
      </c>
      <c r="E45">
        <v>8</v>
      </c>
      <c r="F45">
        <v>30</v>
      </c>
      <c r="L45" s="7">
        <f>L46*-1/1000-1</f>
        <v>-3.2397198770533708E-2</v>
      </c>
      <c r="M45" s="7">
        <f t="shared" ref="M45:N45" si="0">M46*-1/1000-1</f>
        <v>-5.5348191147470138E-2</v>
      </c>
      <c r="N45" s="7">
        <f t="shared" si="0"/>
        <v>-0.10273654043021752</v>
      </c>
    </row>
    <row r="46" spans="1:15" x14ac:dyDescent="0.25">
      <c r="B46" t="s">
        <v>62</v>
      </c>
      <c r="D46" t="s">
        <v>73</v>
      </c>
      <c r="E46" t="s">
        <v>73</v>
      </c>
      <c r="F46" t="s">
        <v>73</v>
      </c>
      <c r="H46" t="s">
        <v>59</v>
      </c>
      <c r="J46" s="5">
        <v>0.09</v>
      </c>
      <c r="L46" s="26">
        <f>PV(9%,D45,80,1000)</f>
        <v>-967.60280122946631</v>
      </c>
      <c r="M46" s="26">
        <f t="shared" ref="M46" si="1">PV(9%,E45,80,1000)</f>
        <v>-944.65180885252983</v>
      </c>
      <c r="N46" s="26">
        <f>PV(9%,F45,80,1000)</f>
        <v>-897.26345956978253</v>
      </c>
    </row>
    <row r="47" spans="1:15" x14ac:dyDescent="0.25">
      <c r="B47" t="s">
        <v>62</v>
      </c>
      <c r="D47" t="s">
        <v>74</v>
      </c>
      <c r="E47" t="s">
        <v>74</v>
      </c>
      <c r="F47" t="s">
        <v>74</v>
      </c>
      <c r="H47" t="s">
        <v>59</v>
      </c>
      <c r="J47" s="5">
        <v>7.0000000000000007E-2</v>
      </c>
      <c r="L47" s="26">
        <f>PV(7%,D45,80,1000)</f>
        <v>-1033.8721125646391</v>
      </c>
      <c r="M47" s="26">
        <f t="shared" ref="M47:N47" si="2">PV(7%,E45,80,1000)</f>
        <v>-1059.7129850621372</v>
      </c>
      <c r="N47" s="26">
        <f t="shared" si="2"/>
        <v>-1124.0904118350586</v>
      </c>
    </row>
    <row r="48" spans="1:15" x14ac:dyDescent="0.25">
      <c r="L48" s="7">
        <f>L47*-1/1000-1</f>
        <v>3.3872112564639068E-2</v>
      </c>
      <c r="M48" s="7">
        <f t="shared" ref="M48:N48" si="3">M47*-1/1000-1</f>
        <v>5.971298506213718E-2</v>
      </c>
      <c r="N48" s="7">
        <f t="shared" si="3"/>
        <v>0.12409041183505853</v>
      </c>
      <c r="O48" t="s">
        <v>75</v>
      </c>
    </row>
    <row r="50" spans="1:6" x14ac:dyDescent="0.25">
      <c r="A50" t="s">
        <v>76</v>
      </c>
      <c r="B50" s="26">
        <f>PV(0.06,1,80,1000)*-1</f>
        <v>1018.8679245283018</v>
      </c>
      <c r="C50">
        <v>80</v>
      </c>
      <c r="D50" s="26">
        <f>B50-1000</f>
        <v>18.867924528301842</v>
      </c>
      <c r="E50" s="19">
        <f>SUM(C50:D50)</f>
        <v>98.867924528301842</v>
      </c>
      <c r="F50" s="7">
        <f>E50/1000</f>
        <v>9.8867924528301843E-2</v>
      </c>
    </row>
    <row r="51" spans="1:6" x14ac:dyDescent="0.25">
      <c r="B51" s="26">
        <f>PV(0.08,1,80,1000)*-1</f>
        <v>999.99999999999989</v>
      </c>
      <c r="C51">
        <v>80</v>
      </c>
      <c r="D51" s="26">
        <f t="shared" ref="D51:D52" si="4">B51-1000</f>
        <v>0</v>
      </c>
      <c r="E51" s="19">
        <f t="shared" ref="E51:E52" si="5">SUM(C51:D51)</f>
        <v>80</v>
      </c>
      <c r="F51" s="7">
        <f t="shared" ref="F51:F52" si="6">E51/1000</f>
        <v>0.08</v>
      </c>
    </row>
    <row r="52" spans="1:6" x14ac:dyDescent="0.25">
      <c r="B52" s="26">
        <f>PV(0.1,1,80,1000)*-1</f>
        <v>981.81818181818176</v>
      </c>
      <c r="C52">
        <v>80</v>
      </c>
      <c r="D52" s="26">
        <f t="shared" si="4"/>
        <v>-18.181818181818244</v>
      </c>
      <c r="E52" s="19">
        <f t="shared" si="5"/>
        <v>61.818181818181756</v>
      </c>
      <c r="F52" s="7">
        <f t="shared" si="6"/>
        <v>6.1818181818181758E-2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workbookViewId="0"/>
  </sheetViews>
  <sheetFormatPr defaultRowHeight="15" x14ac:dyDescent="0.25"/>
  <cols>
    <col min="2" max="2" width="20.5703125" customWidth="1"/>
    <col min="3" max="3" width="8.42578125" customWidth="1"/>
    <col min="8" max="8" width="9.7109375" bestFit="1" customWidth="1"/>
  </cols>
  <sheetData>
    <row r="1" spans="1:6" x14ac:dyDescent="0.25">
      <c r="A1" t="s">
        <v>77</v>
      </c>
      <c r="B1" t="s">
        <v>78</v>
      </c>
    </row>
    <row r="2" spans="1:6" x14ac:dyDescent="0.25">
      <c r="A2" t="s">
        <v>79</v>
      </c>
      <c r="B2">
        <f>2.4/0.08</f>
        <v>30</v>
      </c>
    </row>
    <row r="3" spans="1:6" x14ac:dyDescent="0.25">
      <c r="A3" t="s">
        <v>80</v>
      </c>
      <c r="B3" s="19">
        <f>8/0.12</f>
        <v>66.666666666666671</v>
      </c>
    </row>
    <row r="4" spans="1:6" x14ac:dyDescent="0.25">
      <c r="B4" s="19">
        <f>8/0.12</f>
        <v>66.666666666666671</v>
      </c>
    </row>
    <row r="5" spans="1:6" x14ac:dyDescent="0.25">
      <c r="B5" s="1">
        <f>8/B3</f>
        <v>0.12</v>
      </c>
      <c r="C5">
        <v>0</v>
      </c>
      <c r="D5" s="5">
        <f>B5</f>
        <v>0.12</v>
      </c>
    </row>
    <row r="7" spans="1:6" x14ac:dyDescent="0.25">
      <c r="A7" t="s">
        <v>52</v>
      </c>
      <c r="B7" t="s">
        <v>81</v>
      </c>
      <c r="C7" t="s">
        <v>82</v>
      </c>
    </row>
    <row r="8" spans="1:6" ht="15.75" x14ac:dyDescent="0.25">
      <c r="B8" s="5">
        <v>0.08</v>
      </c>
      <c r="C8" s="5">
        <v>0.05</v>
      </c>
      <c r="D8" s="36">
        <f>SUM(B8:C8)</f>
        <v>0.13</v>
      </c>
    </row>
    <row r="9" spans="1:6" x14ac:dyDescent="0.25">
      <c r="A9" t="s">
        <v>23</v>
      </c>
      <c r="B9" t="s">
        <v>83</v>
      </c>
    </row>
    <row r="11" spans="1:6" x14ac:dyDescent="0.25">
      <c r="A11" t="s">
        <v>0</v>
      </c>
      <c r="B11" s="1">
        <f>3/30</f>
        <v>0.1</v>
      </c>
      <c r="C11" s="5">
        <v>0.04</v>
      </c>
      <c r="D11" s="35">
        <f>SUM(B11:C11)</f>
        <v>0.14000000000000001</v>
      </c>
    </row>
    <row r="12" spans="1:6" ht="15.75" x14ac:dyDescent="0.25">
      <c r="B12" t="s">
        <v>84</v>
      </c>
      <c r="C12" s="37">
        <f>3/(16.5%-4%)</f>
        <v>24</v>
      </c>
    </row>
    <row r="13" spans="1:6" x14ac:dyDescent="0.25">
      <c r="E13" s="17" t="s">
        <v>85</v>
      </c>
      <c r="F13" s="17" t="s">
        <v>86</v>
      </c>
    </row>
    <row r="14" spans="1:6" x14ac:dyDescent="0.25">
      <c r="A14" t="s">
        <v>9</v>
      </c>
      <c r="B14" s="19">
        <f>2/0.048</f>
        <v>41.666666666666664</v>
      </c>
      <c r="C14">
        <f>8/0.048</f>
        <v>166.66666666666666</v>
      </c>
      <c r="E14" s="19">
        <f>0.15/0.0192</f>
        <v>7.8125</v>
      </c>
      <c r="F14" s="19">
        <f>4.36/0.0249</f>
        <v>175.10040160642572</v>
      </c>
    </row>
    <row r="16" spans="1:6" x14ac:dyDescent="0.25">
      <c r="A16" t="s">
        <v>31</v>
      </c>
      <c r="C16" s="17">
        <v>0</v>
      </c>
      <c r="D16" s="17">
        <v>1</v>
      </c>
      <c r="E16" s="17">
        <v>2</v>
      </c>
      <c r="F16" s="17">
        <v>3</v>
      </c>
    </row>
    <row r="17" spans="1:8" ht="15.75" x14ac:dyDescent="0.25">
      <c r="B17" t="s">
        <v>87</v>
      </c>
      <c r="C17">
        <v>1</v>
      </c>
      <c r="D17" s="37">
        <f>C17*1.04</f>
        <v>1.04</v>
      </c>
      <c r="E17" s="39">
        <f t="shared" ref="E17:F17" si="0">D17*1.04</f>
        <v>1.0816000000000001</v>
      </c>
      <c r="F17" s="39">
        <f t="shared" si="0"/>
        <v>1.1248640000000001</v>
      </c>
    </row>
    <row r="18" spans="1:8" ht="15.75" x14ac:dyDescent="0.25">
      <c r="B18" t="s">
        <v>88</v>
      </c>
      <c r="C18" s="40">
        <f>1.04/0.08</f>
        <v>13</v>
      </c>
      <c r="D18" s="38"/>
      <c r="E18" s="38"/>
      <c r="F18" s="39">
        <f>13*1.04^3</f>
        <v>14.623232000000002</v>
      </c>
    </row>
    <row r="19" spans="1:8" x14ac:dyDescent="0.25">
      <c r="B19" t="s">
        <v>89</v>
      </c>
      <c r="D19">
        <f>SUM(D17:D18)</f>
        <v>1.04</v>
      </c>
      <c r="E19">
        <f t="shared" ref="E19:F19" si="1">SUM(E17:E18)</f>
        <v>1.0816000000000001</v>
      </c>
      <c r="F19" s="34">
        <f t="shared" si="1"/>
        <v>15.748096000000002</v>
      </c>
      <c r="G19" s="19"/>
    </row>
    <row r="20" spans="1:8" ht="18.75" x14ac:dyDescent="0.3">
      <c r="B20" t="s">
        <v>90</v>
      </c>
      <c r="C20" s="8">
        <f>SUM(D20:F20)</f>
        <v>12.999999999999998</v>
      </c>
      <c r="D20" s="34">
        <f>D19/1.12</f>
        <v>0.92857142857142849</v>
      </c>
      <c r="E20" s="34">
        <f>E19/1.12^2</f>
        <v>0.86224489795918369</v>
      </c>
      <c r="F20" s="34">
        <f>F19/1.12^3</f>
        <v>11.209183673469386</v>
      </c>
      <c r="H20" s="63">
        <f>NPV(0.12,D19:F19)</f>
        <v>12.999999999999998</v>
      </c>
    </row>
    <row r="21" spans="1:8" x14ac:dyDescent="0.25">
      <c r="C21" s="34"/>
      <c r="D21" s="34"/>
      <c r="E21" s="34"/>
      <c r="F21" s="34"/>
    </row>
    <row r="22" spans="1:8" x14ac:dyDescent="0.25">
      <c r="A22" t="s">
        <v>38</v>
      </c>
      <c r="B22" t="s">
        <v>87</v>
      </c>
      <c r="C22">
        <v>4</v>
      </c>
    </row>
    <row r="23" spans="1:8" x14ac:dyDescent="0.25">
      <c r="B23" t="s">
        <v>88</v>
      </c>
      <c r="C23">
        <v>40</v>
      </c>
      <c r="D23" s="1">
        <f>C22/C23</f>
        <v>0.1</v>
      </c>
    </row>
    <row r="24" spans="1:8" x14ac:dyDescent="0.25">
      <c r="C24" s="5">
        <v>0.15</v>
      </c>
      <c r="D24" s="1">
        <f>C24*0.4</f>
        <v>0.06</v>
      </c>
    </row>
    <row r="25" spans="1:8" ht="15.75" x14ac:dyDescent="0.25">
      <c r="D25" s="36">
        <f>SUM(D23:D24)</f>
        <v>0.16</v>
      </c>
    </row>
    <row r="27" spans="1:8" x14ac:dyDescent="0.25">
      <c r="A27" t="s">
        <v>39</v>
      </c>
      <c r="B27" t="s">
        <v>87</v>
      </c>
      <c r="C27">
        <v>3</v>
      </c>
      <c r="D27">
        <f>C27*1.05</f>
        <v>3.1500000000000004</v>
      </c>
    </row>
    <row r="28" spans="1:8" x14ac:dyDescent="0.25">
      <c r="B28" t="s">
        <v>91</v>
      </c>
      <c r="D28" s="5">
        <v>0.15</v>
      </c>
      <c r="E28" s="5">
        <f>D28-5%</f>
        <v>9.9999999999999992E-2</v>
      </c>
    </row>
    <row r="29" spans="1:8" ht="15.75" x14ac:dyDescent="0.25">
      <c r="B29" t="s">
        <v>88</v>
      </c>
      <c r="E29" s="37">
        <f>D27/E28</f>
        <v>31.500000000000007</v>
      </c>
    </row>
    <row r="30" spans="1:8" x14ac:dyDescent="0.25">
      <c r="B30" t="s">
        <v>82</v>
      </c>
      <c r="C30" s="5">
        <v>0.05</v>
      </c>
      <c r="D30" s="5">
        <v>0.12</v>
      </c>
      <c r="E30" s="5">
        <f>D30-5%</f>
        <v>6.9999999999999993E-2</v>
      </c>
    </row>
    <row r="31" spans="1:8" ht="15.75" x14ac:dyDescent="0.25">
      <c r="E31" s="37">
        <f>D27/E30</f>
        <v>45.000000000000007</v>
      </c>
    </row>
    <row r="33" spans="1:5" x14ac:dyDescent="0.25">
      <c r="A33" t="s">
        <v>92</v>
      </c>
      <c r="B33" t="s">
        <v>87</v>
      </c>
      <c r="C33">
        <v>5</v>
      </c>
    </row>
    <row r="34" spans="1:5" x14ac:dyDescent="0.25">
      <c r="B34" t="s">
        <v>88</v>
      </c>
      <c r="C34">
        <v>50</v>
      </c>
    </row>
    <row r="35" spans="1:5" x14ac:dyDescent="0.25">
      <c r="B35" t="s">
        <v>91</v>
      </c>
      <c r="C35" s="5">
        <v>0.14000000000000001</v>
      </c>
      <c r="D35" s="1">
        <f>C33/C34</f>
        <v>0.1</v>
      </c>
    </row>
    <row r="36" spans="1:5" ht="15.75" x14ac:dyDescent="0.25">
      <c r="B36" t="s">
        <v>82</v>
      </c>
      <c r="D36" s="36">
        <f>C35-D35</f>
        <v>4.0000000000000008E-2</v>
      </c>
    </row>
    <row r="38" spans="1:5" x14ac:dyDescent="0.25">
      <c r="A38" t="s">
        <v>93</v>
      </c>
      <c r="B38" t="s">
        <v>87</v>
      </c>
      <c r="C38">
        <v>1.64</v>
      </c>
    </row>
    <row r="39" spans="1:5" x14ac:dyDescent="0.25">
      <c r="B39" t="s">
        <v>88</v>
      </c>
      <c r="C39">
        <v>27</v>
      </c>
    </row>
    <row r="40" spans="1:5" ht="15.75" x14ac:dyDescent="0.25">
      <c r="B40" t="s">
        <v>82</v>
      </c>
      <c r="C40" s="5">
        <v>0.03</v>
      </c>
      <c r="D40" s="2">
        <f>C38/C39</f>
        <v>6.0740740740740734E-2</v>
      </c>
      <c r="E40" s="36">
        <f>SUM(C40:D40)</f>
        <v>9.0740740740740733E-2</v>
      </c>
    </row>
    <row r="41" spans="1:5" ht="15.75" x14ac:dyDescent="0.25">
      <c r="C41" s="41">
        <f>E41-D41</f>
        <v>3.9259259259259272E-2</v>
      </c>
      <c r="D41" s="2">
        <f>D40</f>
        <v>6.0740740740740734E-2</v>
      </c>
      <c r="E41" s="36">
        <v>0.1</v>
      </c>
    </row>
    <row r="42" spans="1:5" ht="15.75" x14ac:dyDescent="0.25">
      <c r="C42" s="42">
        <f>5%/0.4</f>
        <v>0.125</v>
      </c>
    </row>
    <row r="44" spans="1:5" x14ac:dyDescent="0.25">
      <c r="A44" t="s">
        <v>57</v>
      </c>
      <c r="B44" t="s">
        <v>87</v>
      </c>
      <c r="C44">
        <v>2</v>
      </c>
    </row>
    <row r="45" spans="1:5" x14ac:dyDescent="0.25">
      <c r="B45" t="s">
        <v>82</v>
      </c>
      <c r="C45" s="5">
        <v>0.06</v>
      </c>
    </row>
    <row r="46" spans="1:5" ht="15.75" x14ac:dyDescent="0.25">
      <c r="B46" t="s">
        <v>91</v>
      </c>
      <c r="C46" s="5">
        <v>0.12</v>
      </c>
      <c r="D46" s="44">
        <f>C44/(C46-C45)</f>
        <v>33.333333333333336</v>
      </c>
    </row>
    <row r="49" spans="1:10" x14ac:dyDescent="0.25">
      <c r="A49" t="s">
        <v>63</v>
      </c>
      <c r="B49" t="s">
        <v>82</v>
      </c>
      <c r="C49" s="5">
        <v>-0.1</v>
      </c>
    </row>
    <row r="50" spans="1:10" x14ac:dyDescent="0.25">
      <c r="B50" t="s">
        <v>91</v>
      </c>
      <c r="C50" s="5">
        <v>0.15</v>
      </c>
    </row>
    <row r="51" spans="1:10" x14ac:dyDescent="0.25">
      <c r="B51" t="s">
        <v>87</v>
      </c>
      <c r="C51" s="32">
        <v>3</v>
      </c>
      <c r="D51">
        <f>C51*(1+C49)</f>
        <v>2.7</v>
      </c>
    </row>
    <row r="52" spans="1:10" x14ac:dyDescent="0.25">
      <c r="B52" t="s">
        <v>88</v>
      </c>
      <c r="C52">
        <f>C51/(C50-C49)</f>
        <v>12</v>
      </c>
      <c r="D52">
        <f>D51/(C50-C49)</f>
        <v>10.8</v>
      </c>
    </row>
    <row r="53" spans="1:10" ht="15.75" x14ac:dyDescent="0.25">
      <c r="B53" t="s">
        <v>91</v>
      </c>
      <c r="D53" s="1">
        <f>D51/D52</f>
        <v>0.25</v>
      </c>
      <c r="E53" s="5">
        <f>C49</f>
        <v>-0.1</v>
      </c>
      <c r="F53" s="36">
        <f>SUM(D53:E53)</f>
        <v>0.15</v>
      </c>
    </row>
    <row r="55" spans="1:10" ht="15.75" x14ac:dyDescent="0.25">
      <c r="A55" t="s">
        <v>64</v>
      </c>
      <c r="B55" t="s">
        <v>94</v>
      </c>
      <c r="C55">
        <v>6</v>
      </c>
      <c r="D55">
        <v>0</v>
      </c>
      <c r="E55">
        <v>6</v>
      </c>
      <c r="G55" s="23" t="s">
        <v>82</v>
      </c>
      <c r="H55" s="13">
        <f>15%*D55</f>
        <v>0</v>
      </c>
      <c r="I55" s="37">
        <f>E55/(15%-H55)</f>
        <v>40</v>
      </c>
    </row>
    <row r="56" spans="1:10" ht="15.75" x14ac:dyDescent="0.25">
      <c r="B56" t="s">
        <v>91</v>
      </c>
      <c r="C56" s="5">
        <v>0.15</v>
      </c>
      <c r="D56" s="5">
        <v>0.4</v>
      </c>
      <c r="E56">
        <v>3.6</v>
      </c>
      <c r="G56" s="23" t="s">
        <v>82</v>
      </c>
      <c r="H56" s="13">
        <f t="shared" ref="H56:H57" si="2">15%*D56</f>
        <v>0.06</v>
      </c>
      <c r="I56" s="37">
        <f t="shared" ref="I56:I57" si="3">E56/(15%-H56)</f>
        <v>40</v>
      </c>
    </row>
    <row r="57" spans="1:10" ht="15.75" x14ac:dyDescent="0.25">
      <c r="B57" t="s">
        <v>95</v>
      </c>
      <c r="C57" s="5">
        <v>0.15</v>
      </c>
      <c r="D57" s="5">
        <v>0.6</v>
      </c>
      <c r="E57">
        <v>2.4</v>
      </c>
      <c r="G57" s="23" t="s">
        <v>82</v>
      </c>
      <c r="H57" s="13">
        <f t="shared" si="2"/>
        <v>0.09</v>
      </c>
      <c r="I57" s="37">
        <f t="shared" si="3"/>
        <v>40</v>
      </c>
    </row>
    <row r="59" spans="1:10" ht="15.75" x14ac:dyDescent="0.25">
      <c r="B59" t="s">
        <v>95</v>
      </c>
      <c r="C59" s="5">
        <v>0.2</v>
      </c>
      <c r="D59">
        <v>0</v>
      </c>
      <c r="E59">
        <v>6</v>
      </c>
      <c r="G59" s="23" t="s">
        <v>82</v>
      </c>
      <c r="H59" s="13">
        <f>20%*D59</f>
        <v>0</v>
      </c>
      <c r="I59" s="37">
        <f>E59/(15%-H59)</f>
        <v>40</v>
      </c>
      <c r="J59" s="37">
        <f>I59-I55</f>
        <v>0</v>
      </c>
    </row>
    <row r="60" spans="1:10" ht="15.75" x14ac:dyDescent="0.25">
      <c r="D60" s="5">
        <v>0.4</v>
      </c>
      <c r="E60">
        <v>3.6</v>
      </c>
      <c r="G60" s="23" t="s">
        <v>82</v>
      </c>
      <c r="H60" s="13">
        <f t="shared" ref="H60:H61" si="4">20%*D60</f>
        <v>8.0000000000000016E-2</v>
      </c>
      <c r="I60" s="44">
        <f t="shared" ref="I60:I61" si="5">E60/(15%-H60)</f>
        <v>51.428571428571445</v>
      </c>
      <c r="J60" s="44">
        <f t="shared" ref="J60:J61" si="6">I60-I56</f>
        <v>11.428571428571445</v>
      </c>
    </row>
    <row r="61" spans="1:10" ht="15.75" x14ac:dyDescent="0.25">
      <c r="D61" s="5">
        <v>0.6</v>
      </c>
      <c r="E61">
        <v>2.4</v>
      </c>
      <c r="G61" s="23" t="s">
        <v>82</v>
      </c>
      <c r="H61" s="13">
        <f t="shared" si="4"/>
        <v>0.12</v>
      </c>
      <c r="I61" s="37">
        <f t="shared" si="5"/>
        <v>80</v>
      </c>
      <c r="J61" s="37">
        <f t="shared" si="6"/>
        <v>40</v>
      </c>
    </row>
    <row r="64" spans="1:10" ht="15.75" x14ac:dyDescent="0.25">
      <c r="A64" t="s">
        <v>66</v>
      </c>
      <c r="B64" t="s">
        <v>87</v>
      </c>
      <c r="C64" s="46">
        <f>1/18.1</f>
        <v>5.5248618784530384E-2</v>
      </c>
      <c r="D64">
        <v>1</v>
      </c>
      <c r="E64">
        <v>1.25</v>
      </c>
      <c r="F64" s="19">
        <v>1.5</v>
      </c>
    </row>
    <row r="65" spans="1:13" x14ac:dyDescent="0.25">
      <c r="F65">
        <v>20</v>
      </c>
    </row>
    <row r="66" spans="1:13" x14ac:dyDescent="0.25">
      <c r="B66" t="s">
        <v>96</v>
      </c>
      <c r="C66" s="45">
        <f>NPV(10%,D66:F66)</f>
        <v>18.095416979714496</v>
      </c>
      <c r="D66">
        <f>SUM(D64:D65)</f>
        <v>1</v>
      </c>
      <c r="E66">
        <f t="shared" ref="E66:F66" si="7">SUM(E64:E65)</f>
        <v>1.25</v>
      </c>
      <c r="F66">
        <f t="shared" si="7"/>
        <v>21.5</v>
      </c>
      <c r="K66">
        <f>D66</f>
        <v>1</v>
      </c>
      <c r="L66">
        <f t="shared" ref="L66:M66" si="8">E66</f>
        <v>1.25</v>
      </c>
      <c r="M66">
        <f t="shared" si="8"/>
        <v>21.5</v>
      </c>
    </row>
    <row r="67" spans="1:13" x14ac:dyDescent="0.25">
      <c r="C67" s="19">
        <f t="shared" ref="C67:D67" si="9">D67/1.1</f>
        <v>16.153268219383918</v>
      </c>
      <c r="D67" s="19">
        <f t="shared" si="9"/>
        <v>17.76859504132231</v>
      </c>
      <c r="E67" s="19">
        <f>F67/1.1</f>
        <v>19.545454545454543</v>
      </c>
      <c r="F67">
        <f>F66</f>
        <v>21.5</v>
      </c>
      <c r="J67" s="19">
        <f t="shared" ref="J67:K67" si="10">(K67/1.1)+J66</f>
        <v>18.095416979714496</v>
      </c>
      <c r="K67" s="19">
        <f t="shared" si="10"/>
        <v>19.904958677685947</v>
      </c>
      <c r="L67" s="19">
        <f>(M67/1.1)+L66</f>
        <v>20.795454545454543</v>
      </c>
      <c r="M67">
        <v>21.5</v>
      </c>
    </row>
    <row r="68" spans="1:13" x14ac:dyDescent="0.25">
      <c r="C68" s="19">
        <f>D68/1.1</f>
        <v>1.0330578512396693</v>
      </c>
      <c r="D68" s="19">
        <f>E68/1.1</f>
        <v>1.1363636363636362</v>
      </c>
      <c r="E68">
        <v>1.25</v>
      </c>
    </row>
    <row r="69" spans="1:13" x14ac:dyDescent="0.25">
      <c r="C69" s="19">
        <f>D69/1.1</f>
        <v>0.90909090909090906</v>
      </c>
      <c r="D69">
        <v>1</v>
      </c>
    </row>
    <row r="70" spans="1:13" x14ac:dyDescent="0.25">
      <c r="C70" s="43">
        <f>SUM(C67:C69)</f>
        <v>18.095416979714496</v>
      </c>
    </row>
    <row r="72" spans="1:13" x14ac:dyDescent="0.25">
      <c r="A72" t="s">
        <v>70</v>
      </c>
      <c r="B72" t="s">
        <v>97</v>
      </c>
      <c r="C72" s="5">
        <v>0.15</v>
      </c>
      <c r="D72" s="5">
        <v>0.1</v>
      </c>
    </row>
    <row r="73" spans="1:13" x14ac:dyDescent="0.25">
      <c r="B73" t="s">
        <v>94</v>
      </c>
      <c r="C73" s="47">
        <v>2</v>
      </c>
      <c r="D73" s="47">
        <v>1.5</v>
      </c>
    </row>
    <row r="74" spans="1:13" x14ac:dyDescent="0.25">
      <c r="B74" t="s">
        <v>87</v>
      </c>
      <c r="C74" s="47">
        <v>1</v>
      </c>
      <c r="D74" s="47">
        <v>1</v>
      </c>
    </row>
    <row r="75" spans="1:13" x14ac:dyDescent="0.25">
      <c r="B75" t="s">
        <v>98</v>
      </c>
      <c r="C75" s="48">
        <f>C74/C73</f>
        <v>0.5</v>
      </c>
      <c r="D75" s="48">
        <f>D74/D73</f>
        <v>0.66666666666666663</v>
      </c>
    </row>
    <row r="76" spans="1:13" x14ac:dyDescent="0.25">
      <c r="B76" t="s">
        <v>99</v>
      </c>
      <c r="C76" s="49">
        <f>1-C75</f>
        <v>0.5</v>
      </c>
      <c r="D76" s="49">
        <f>1-D75</f>
        <v>0.33333333333333337</v>
      </c>
    </row>
    <row r="77" spans="1:13" x14ac:dyDescent="0.25">
      <c r="B77" t="s">
        <v>82</v>
      </c>
      <c r="C77" s="5">
        <f>C72*C76</f>
        <v>7.4999999999999997E-2</v>
      </c>
      <c r="D77" s="5">
        <f>D72*D76</f>
        <v>3.333333333333334E-2</v>
      </c>
    </row>
    <row r="78" spans="1:13" x14ac:dyDescent="0.25">
      <c r="B78" t="s">
        <v>88</v>
      </c>
      <c r="C78" s="19">
        <f>C74/(C72-C77)</f>
        <v>13.333333333333334</v>
      </c>
      <c r="D78">
        <f>D74/(D72-D77)</f>
        <v>15</v>
      </c>
    </row>
    <row r="81" spans="1:4" x14ac:dyDescent="0.25">
      <c r="A81" t="s">
        <v>71</v>
      </c>
      <c r="B81" t="s">
        <v>95</v>
      </c>
      <c r="C81" s="5">
        <v>0.2</v>
      </c>
    </row>
    <row r="82" spans="1:4" x14ac:dyDescent="0.25">
      <c r="B82" t="s">
        <v>99</v>
      </c>
      <c r="C82" s="5">
        <v>0.3</v>
      </c>
    </row>
    <row r="83" spans="1:4" x14ac:dyDescent="0.25">
      <c r="B83" t="s">
        <v>94</v>
      </c>
      <c r="C83" s="47">
        <v>3</v>
      </c>
    </row>
    <row r="84" spans="1:4" x14ac:dyDescent="0.25">
      <c r="B84" t="s">
        <v>100</v>
      </c>
      <c r="C84" s="5">
        <v>0.12</v>
      </c>
    </row>
    <row r="85" spans="1:4" ht="15.75" x14ac:dyDescent="0.25">
      <c r="B85" t="s">
        <v>82</v>
      </c>
      <c r="C85" s="36">
        <f>C81*C82</f>
        <v>0.06</v>
      </c>
    </row>
    <row r="86" spans="1:4" ht="15.75" x14ac:dyDescent="0.25">
      <c r="B86" t="s">
        <v>88</v>
      </c>
      <c r="C86" s="50">
        <f>C83*(1-C82)/(C84-C85)</f>
        <v>34.999999999999993</v>
      </c>
    </row>
    <row r="87" spans="1:4" ht="15.75" x14ac:dyDescent="0.25">
      <c r="B87" t="s">
        <v>101</v>
      </c>
      <c r="C87" s="51">
        <f>C83/C84</f>
        <v>25</v>
      </c>
      <c r="D87" s="50">
        <f>C86-C87</f>
        <v>9.9999999999999929</v>
      </c>
    </row>
    <row r="88" spans="1:4" ht="15.75" x14ac:dyDescent="0.25">
      <c r="B88" t="s">
        <v>102</v>
      </c>
      <c r="C88" s="37">
        <f>C86/C83</f>
        <v>11.666666666666664</v>
      </c>
    </row>
    <row r="89" spans="1:4" ht="15.75" x14ac:dyDescent="0.25">
      <c r="B89" t="s">
        <v>102</v>
      </c>
      <c r="C89" s="50">
        <f>C83/C84</f>
        <v>25</v>
      </c>
      <c r="D89" s="44">
        <f>C89/C83</f>
        <v>8.3333333333333339</v>
      </c>
    </row>
    <row r="90" spans="1:4" ht="18.75" x14ac:dyDescent="0.3">
      <c r="C90" s="52">
        <f>C86/C87</f>
        <v>1.3999999999999997</v>
      </c>
    </row>
    <row r="91" spans="1:4" ht="18.75" x14ac:dyDescent="0.3">
      <c r="C91" s="52">
        <f>C88/D89</f>
        <v>1.3999999999999997</v>
      </c>
    </row>
    <row r="93" spans="1:4" x14ac:dyDescent="0.25">
      <c r="A93" t="s">
        <v>76</v>
      </c>
      <c r="B93" t="s">
        <v>87</v>
      </c>
      <c r="C93" s="47">
        <v>2.4</v>
      </c>
    </row>
    <row r="94" spans="1:4" x14ac:dyDescent="0.25">
      <c r="B94" t="s">
        <v>82</v>
      </c>
      <c r="C94" s="5">
        <v>0.04</v>
      </c>
      <c r="D94" s="5"/>
    </row>
    <row r="95" spans="1:4" x14ac:dyDescent="0.25">
      <c r="B95" t="s">
        <v>100</v>
      </c>
      <c r="C95" s="5">
        <v>0.12</v>
      </c>
    </row>
    <row r="96" spans="1:4" x14ac:dyDescent="0.25">
      <c r="B96" t="s">
        <v>88</v>
      </c>
      <c r="C96" s="47">
        <f>C93/(C95-C94)</f>
        <v>30.000000000000004</v>
      </c>
    </row>
    <row r="97" spans="1:6" x14ac:dyDescent="0.25">
      <c r="B97" t="s">
        <v>94</v>
      </c>
      <c r="C97" s="47">
        <v>3.1</v>
      </c>
    </row>
    <row r="98" spans="1:6" x14ac:dyDescent="0.25">
      <c r="B98" t="s">
        <v>101</v>
      </c>
    </row>
    <row r="99" spans="1:6" x14ac:dyDescent="0.25">
      <c r="B99" t="s">
        <v>98</v>
      </c>
      <c r="C99" s="49">
        <f>C93/C97</f>
        <v>0.77419354838709675</v>
      </c>
    </row>
    <row r="100" spans="1:6" x14ac:dyDescent="0.25">
      <c r="B100" t="s">
        <v>99</v>
      </c>
      <c r="C100" s="49">
        <f>1-C99</f>
        <v>0.22580645161290325</v>
      </c>
    </row>
    <row r="101" spans="1:6" ht="15.75" x14ac:dyDescent="0.25">
      <c r="C101" s="47">
        <f>C97/C95</f>
        <v>25.833333333333336</v>
      </c>
      <c r="D101" s="50">
        <f>C96-C101</f>
        <v>4.1666666666666679</v>
      </c>
    </row>
    <row r="103" spans="1:6" x14ac:dyDescent="0.25">
      <c r="A103" t="s">
        <v>103</v>
      </c>
      <c r="B103" t="s">
        <v>87</v>
      </c>
      <c r="C103" s="47">
        <v>4</v>
      </c>
    </row>
    <row r="104" spans="1:6" x14ac:dyDescent="0.25">
      <c r="B104" t="s">
        <v>100</v>
      </c>
      <c r="C104" s="5">
        <v>0.12</v>
      </c>
    </row>
    <row r="105" spans="1:6" x14ac:dyDescent="0.25">
      <c r="B105" t="s">
        <v>88</v>
      </c>
      <c r="C105" s="47">
        <f>C103/C104</f>
        <v>33.333333333333336</v>
      </c>
    </row>
    <row r="106" spans="1:6" ht="15.75" x14ac:dyDescent="0.25">
      <c r="B106" t="s">
        <v>102</v>
      </c>
      <c r="C106" s="44">
        <f>C105/C103</f>
        <v>8.3333333333333339</v>
      </c>
    </row>
    <row r="107" spans="1:6" x14ac:dyDescent="0.25">
      <c r="B107" t="s">
        <v>88</v>
      </c>
      <c r="C107" s="47">
        <f>C103/0.1</f>
        <v>40</v>
      </c>
    </row>
    <row r="108" spans="1:6" ht="15.75" x14ac:dyDescent="0.25">
      <c r="B108" t="s">
        <v>102</v>
      </c>
      <c r="C108" s="54">
        <f>C107/C103</f>
        <v>10</v>
      </c>
    </row>
    <row r="111" spans="1:6" x14ac:dyDescent="0.25">
      <c r="A111" t="s">
        <v>104</v>
      </c>
      <c r="B111" t="s">
        <v>105</v>
      </c>
      <c r="C111" s="5">
        <v>0.1</v>
      </c>
      <c r="D111" s="5"/>
      <c r="E111" s="5"/>
    </row>
    <row r="112" spans="1:6" x14ac:dyDescent="0.25">
      <c r="B112" t="s">
        <v>94</v>
      </c>
      <c r="C112" s="47">
        <v>4</v>
      </c>
      <c r="D112">
        <v>0</v>
      </c>
      <c r="E112">
        <v>0.4</v>
      </c>
      <c r="F112">
        <v>0.6</v>
      </c>
    </row>
    <row r="113" spans="1:6" x14ac:dyDescent="0.25">
      <c r="B113" t="s">
        <v>88</v>
      </c>
      <c r="D113" s="47">
        <f>4/0.1</f>
        <v>40</v>
      </c>
      <c r="E113" s="47">
        <f>4*0.6/6%</f>
        <v>40</v>
      </c>
      <c r="F113" s="47">
        <f>4*0.2/2%</f>
        <v>40</v>
      </c>
    </row>
    <row r="114" spans="1:6" x14ac:dyDescent="0.25">
      <c r="B114" t="s">
        <v>102</v>
      </c>
      <c r="D114" s="53">
        <f>D113/4</f>
        <v>10</v>
      </c>
      <c r="E114" s="53">
        <f t="shared" ref="E114:F114" si="11">E113/4</f>
        <v>10</v>
      </c>
      <c r="F114" s="53">
        <f t="shared" si="11"/>
        <v>10</v>
      </c>
    </row>
    <row r="115" spans="1:6" x14ac:dyDescent="0.25">
      <c r="B115" t="s">
        <v>82</v>
      </c>
      <c r="D115">
        <v>0</v>
      </c>
      <c r="E115" s="1">
        <f>10%*0.4</f>
        <v>4.0000000000000008E-2</v>
      </c>
      <c r="F115" s="1">
        <f>10%*0.8</f>
        <v>8.0000000000000016E-2</v>
      </c>
    </row>
    <row r="119" spans="1:6" x14ac:dyDescent="0.25">
      <c r="A119" t="s">
        <v>106</v>
      </c>
      <c r="B119" t="s">
        <v>82</v>
      </c>
      <c r="C119" s="5">
        <v>0.06</v>
      </c>
    </row>
    <row r="120" spans="1:6" x14ac:dyDescent="0.25">
      <c r="B120" t="s">
        <v>107</v>
      </c>
      <c r="C120" s="47">
        <v>5</v>
      </c>
    </row>
    <row r="121" spans="1:6" x14ac:dyDescent="0.25">
      <c r="B121" t="s">
        <v>100</v>
      </c>
      <c r="C121" s="5">
        <v>0.1</v>
      </c>
    </row>
    <row r="122" spans="1:6" ht="15.75" x14ac:dyDescent="0.25">
      <c r="B122" t="s">
        <v>88</v>
      </c>
      <c r="C122" s="37">
        <f>5/4%</f>
        <v>125</v>
      </c>
    </row>
    <row r="123" spans="1:6" x14ac:dyDescent="0.25">
      <c r="B123" t="s">
        <v>94</v>
      </c>
      <c r="C123" s="47">
        <v>8</v>
      </c>
    </row>
    <row r="124" spans="1:6" x14ac:dyDescent="0.25">
      <c r="B124" t="s">
        <v>99</v>
      </c>
      <c r="C124" s="2">
        <f>1-5/8</f>
        <v>0.375</v>
      </c>
    </row>
    <row r="125" spans="1:6" x14ac:dyDescent="0.25">
      <c r="B125" t="s">
        <v>98</v>
      </c>
      <c r="C125" s="2">
        <f>5/8</f>
        <v>0.625</v>
      </c>
    </row>
    <row r="126" spans="1:6" x14ac:dyDescent="0.25">
      <c r="B126" t="s">
        <v>82</v>
      </c>
    </row>
    <row r="127" spans="1:6" ht="15.75" x14ac:dyDescent="0.25">
      <c r="B127" t="s">
        <v>108</v>
      </c>
      <c r="C127" s="37">
        <f>8/0.1</f>
        <v>80</v>
      </c>
    </row>
    <row r="128" spans="1:6" ht="18.75" x14ac:dyDescent="0.3">
      <c r="B128" t="s">
        <v>101</v>
      </c>
      <c r="C128" s="8">
        <f>125-80</f>
        <v>45</v>
      </c>
    </row>
    <row r="130" spans="1:8" x14ac:dyDescent="0.25">
      <c r="A130" t="s">
        <v>109</v>
      </c>
      <c r="B130" t="s">
        <v>100</v>
      </c>
      <c r="C130" s="5">
        <v>0.2</v>
      </c>
      <c r="D130" s="17" t="s">
        <v>82</v>
      </c>
      <c r="E130" s="13">
        <f>20%*30%</f>
        <v>0.06</v>
      </c>
    </row>
    <row r="131" spans="1:8" x14ac:dyDescent="0.25">
      <c r="B131" t="s">
        <v>99</v>
      </c>
      <c r="C131" s="2">
        <v>0.3</v>
      </c>
      <c r="D131" s="5">
        <v>0.2</v>
      </c>
      <c r="E131" s="5">
        <f>C130*D131</f>
        <v>4.0000000000000008E-2</v>
      </c>
    </row>
    <row r="132" spans="1:8" x14ac:dyDescent="0.25">
      <c r="B132" t="s">
        <v>94</v>
      </c>
      <c r="C132" s="47">
        <v>4</v>
      </c>
    </row>
    <row r="133" spans="1:8" x14ac:dyDescent="0.25">
      <c r="B133" t="s">
        <v>100</v>
      </c>
      <c r="C133" s="5">
        <v>0.12</v>
      </c>
      <c r="D133" s="5"/>
      <c r="E133" s="5">
        <v>0.12</v>
      </c>
    </row>
    <row r="134" spans="1:8" ht="15.75" x14ac:dyDescent="0.25">
      <c r="B134" t="s">
        <v>88</v>
      </c>
      <c r="C134" s="44">
        <f>2.8/6%</f>
        <v>46.666666666666664</v>
      </c>
      <c r="D134" s="37"/>
      <c r="E134" s="37">
        <f>3.2/8%</f>
        <v>40</v>
      </c>
    </row>
    <row r="135" spans="1:8" ht="15.75" x14ac:dyDescent="0.25">
      <c r="B135" t="s">
        <v>102</v>
      </c>
      <c r="C135" s="44">
        <f>C134/C132</f>
        <v>11.666666666666666</v>
      </c>
      <c r="D135" s="37"/>
      <c r="E135" s="37">
        <f>E134/4</f>
        <v>10</v>
      </c>
    </row>
    <row r="138" spans="1:8" x14ac:dyDescent="0.25">
      <c r="A138" t="s">
        <v>110</v>
      </c>
      <c r="B138" t="s">
        <v>82</v>
      </c>
      <c r="C138" s="5">
        <v>0.2</v>
      </c>
      <c r="E138" s="17">
        <v>0</v>
      </c>
      <c r="F138" s="17">
        <v>1</v>
      </c>
      <c r="G138" s="17">
        <v>2</v>
      </c>
      <c r="H138" s="17">
        <v>3</v>
      </c>
    </row>
    <row r="139" spans="1:8" x14ac:dyDescent="0.25">
      <c r="B139" t="s">
        <v>100</v>
      </c>
      <c r="C139" s="5">
        <v>0.1</v>
      </c>
      <c r="F139" s="47">
        <v>2</v>
      </c>
      <c r="G139" s="47">
        <f>F139*1.2</f>
        <v>2.4</v>
      </c>
      <c r="H139" s="47">
        <f>G139*1.2</f>
        <v>2.88</v>
      </c>
    </row>
    <row r="140" spans="1:8" x14ac:dyDescent="0.25">
      <c r="B140" t="s">
        <v>107</v>
      </c>
      <c r="C140" s="47">
        <v>2</v>
      </c>
      <c r="D140" s="17" t="s">
        <v>62</v>
      </c>
      <c r="E140" s="47">
        <f>F139/1.1</f>
        <v>1.8181818181818181</v>
      </c>
    </row>
    <row r="141" spans="1:8" x14ac:dyDescent="0.25">
      <c r="E141" s="47">
        <f>G139/1.1^2</f>
        <v>1.9834710743801649</v>
      </c>
    </row>
    <row r="142" spans="1:8" x14ac:dyDescent="0.25">
      <c r="E142" s="47">
        <f>H139/1.1^3</f>
        <v>2.1637866265965431</v>
      </c>
    </row>
    <row r="143" spans="1:8" x14ac:dyDescent="0.25">
      <c r="E143" s="47">
        <f>SUM(E140:E142)</f>
        <v>5.9654395191585259</v>
      </c>
    </row>
    <row r="144" spans="1:8" x14ac:dyDescent="0.25">
      <c r="E144" s="26">
        <f>NPV(0.1,F139:H139)</f>
        <v>5.9654395191585259</v>
      </c>
    </row>
    <row r="146" spans="1:6" x14ac:dyDescent="0.25">
      <c r="A146" t="s">
        <v>111</v>
      </c>
      <c r="B146" t="s">
        <v>112</v>
      </c>
      <c r="C146" s="47">
        <v>200</v>
      </c>
      <c r="D146">
        <f>200*0.24</f>
        <v>48</v>
      </c>
      <c r="E146">
        <f>D146*50%</f>
        <v>24</v>
      </c>
    </row>
    <row r="147" spans="1:6" x14ac:dyDescent="0.25">
      <c r="B147" t="s">
        <v>97</v>
      </c>
      <c r="C147" s="5">
        <v>0.24</v>
      </c>
      <c r="E147" s="17" t="s">
        <v>82</v>
      </c>
      <c r="F147" s="5">
        <v>0.12</v>
      </c>
    </row>
    <row r="148" spans="1:6" x14ac:dyDescent="0.25">
      <c r="B148" t="s">
        <v>100</v>
      </c>
      <c r="C148" s="5">
        <v>0.15</v>
      </c>
    </row>
    <row r="149" spans="1:6" x14ac:dyDescent="0.25">
      <c r="B149" t="s">
        <v>99</v>
      </c>
      <c r="C149" s="2">
        <v>0.5</v>
      </c>
    </row>
    <row r="150" spans="1:6" x14ac:dyDescent="0.25">
      <c r="C150">
        <f>24/0.03</f>
        <v>800</v>
      </c>
    </row>
    <row r="152" spans="1:6" x14ac:dyDescent="0.25">
      <c r="A152" t="s">
        <v>113</v>
      </c>
      <c r="B152" t="s">
        <v>87</v>
      </c>
      <c r="C152" s="17">
        <v>0</v>
      </c>
      <c r="D152" s="17">
        <v>1</v>
      </c>
      <c r="E152" s="17">
        <v>2</v>
      </c>
      <c r="F152" s="17">
        <v>3</v>
      </c>
    </row>
    <row r="153" spans="1:6" ht="15.75" x14ac:dyDescent="0.25">
      <c r="B153" s="55">
        <f>NPV(C154,D153:F153)</f>
        <v>16.590743440233233</v>
      </c>
      <c r="D153" s="47">
        <v>2</v>
      </c>
      <c r="E153" s="47">
        <v>2.5</v>
      </c>
      <c r="F153" s="47">
        <v>18</v>
      </c>
    </row>
    <row r="154" spans="1:6" x14ac:dyDescent="0.25">
      <c r="B154" t="s">
        <v>100</v>
      </c>
      <c r="C154" s="5">
        <v>0.12</v>
      </c>
    </row>
    <row r="155" spans="1:6" ht="15.75" x14ac:dyDescent="0.25">
      <c r="C155" s="50">
        <f t="shared" ref="C155:D155" si="12">D155/1.12+C153</f>
        <v>16.590743440233229</v>
      </c>
      <c r="D155" s="47">
        <f t="shared" si="12"/>
        <v>18.58163265306122</v>
      </c>
      <c r="E155" s="47">
        <f>F155/1.12+E153</f>
        <v>18.571428571428569</v>
      </c>
      <c r="F155">
        <v>18</v>
      </c>
    </row>
    <row r="158" spans="1:6" x14ac:dyDescent="0.25">
      <c r="A158" t="s">
        <v>114</v>
      </c>
      <c r="B158" t="s">
        <v>87</v>
      </c>
      <c r="C158" s="17">
        <v>0</v>
      </c>
      <c r="D158" s="17">
        <v>1</v>
      </c>
      <c r="E158" s="17">
        <v>2</v>
      </c>
    </row>
    <row r="159" spans="1:6" x14ac:dyDescent="0.25">
      <c r="D159" s="60">
        <v>2</v>
      </c>
      <c r="E159" s="47">
        <v>4</v>
      </c>
    </row>
    <row r="160" spans="1:6" x14ac:dyDescent="0.25">
      <c r="E160" s="17" t="s">
        <v>82</v>
      </c>
      <c r="F160" s="5">
        <v>0.05</v>
      </c>
    </row>
    <row r="161" spans="1:8" x14ac:dyDescent="0.25">
      <c r="B161" t="s">
        <v>100</v>
      </c>
      <c r="C161" s="5">
        <v>0.12</v>
      </c>
    </row>
    <row r="162" spans="1:8" ht="15.75" x14ac:dyDescent="0.25">
      <c r="C162" s="56" t="s">
        <v>88</v>
      </c>
      <c r="D162" s="57" t="s">
        <v>115</v>
      </c>
    </row>
    <row r="163" spans="1:8" ht="18.75" x14ac:dyDescent="0.3">
      <c r="C163">
        <f>D163/1.12</f>
        <v>51.020408163265294</v>
      </c>
      <c r="D163" s="39">
        <f>4/0.07</f>
        <v>57.142857142857139</v>
      </c>
      <c r="H163" s="62">
        <f>SUM(H164:H165)</f>
        <v>0.12000000000000019</v>
      </c>
    </row>
    <row r="164" spans="1:8" x14ac:dyDescent="0.25">
      <c r="C164" s="59">
        <f>D159/1.12</f>
        <v>1.7857142857142856</v>
      </c>
      <c r="F164" t="s">
        <v>116</v>
      </c>
      <c r="G164" s="61">
        <f>D163-C165</f>
        <v>4.3367346938775597</v>
      </c>
      <c r="H164" s="7">
        <f>G164/C163</f>
        <v>8.5000000000000187E-2</v>
      </c>
    </row>
    <row r="165" spans="1:8" x14ac:dyDescent="0.25">
      <c r="C165" s="58">
        <f>SUM(C163:C164)</f>
        <v>52.806122448979579</v>
      </c>
      <c r="F165" t="s">
        <v>107</v>
      </c>
      <c r="G165" s="59">
        <f>C164</f>
        <v>1.7857142857142856</v>
      </c>
      <c r="H165" s="7">
        <f>C164/C163</f>
        <v>3.5000000000000003E-2</v>
      </c>
    </row>
    <row r="166" spans="1:8" x14ac:dyDescent="0.25">
      <c r="G166" s="20">
        <f>SUM(G164:G165)</f>
        <v>6.1224489795918453</v>
      </c>
      <c r="H166" s="20">
        <f>D163-C163</f>
        <v>6.1224489795918444</v>
      </c>
    </row>
    <row r="169" spans="1:8" x14ac:dyDescent="0.25">
      <c r="A169" t="s">
        <v>117</v>
      </c>
      <c r="B169" t="s">
        <v>87</v>
      </c>
      <c r="C169">
        <v>4</v>
      </c>
      <c r="D169" s="1">
        <f>4/100</f>
        <v>0.04</v>
      </c>
    </row>
    <row r="170" spans="1:8" x14ac:dyDescent="0.25">
      <c r="B170" t="s">
        <v>100</v>
      </c>
      <c r="C170" s="5">
        <v>0.1</v>
      </c>
      <c r="E170" s="5">
        <f>C170-D172</f>
        <v>6.0000000000000005E-2</v>
      </c>
    </row>
    <row r="171" spans="1:8" x14ac:dyDescent="0.25">
      <c r="B171" t="s">
        <v>99</v>
      </c>
      <c r="C171" s="5">
        <v>0.6</v>
      </c>
    </row>
    <row r="172" spans="1:8" x14ac:dyDescent="0.25">
      <c r="B172" t="s">
        <v>82</v>
      </c>
      <c r="C172" s="5">
        <v>0.04</v>
      </c>
      <c r="D172" s="64">
        <f>4*60%/100+4*40%/100</f>
        <v>0.04</v>
      </c>
    </row>
    <row r="173" spans="1:8" x14ac:dyDescent="0.25">
      <c r="C173">
        <v>100</v>
      </c>
    </row>
    <row r="174" spans="1:8" x14ac:dyDescent="0.25">
      <c r="B174" t="s">
        <v>118</v>
      </c>
      <c r="C174" s="35">
        <f>SUM(C172:D172)</f>
        <v>0.08</v>
      </c>
    </row>
    <row r="176" spans="1:8" x14ac:dyDescent="0.25">
      <c r="C176" s="19">
        <f>4/6%</f>
        <v>66.666666666666671</v>
      </c>
    </row>
    <row r="177" spans="2:13" x14ac:dyDescent="0.25">
      <c r="C177">
        <f>4/0.08</f>
        <v>50</v>
      </c>
    </row>
    <row r="178" spans="2:13" ht="18.75" x14ac:dyDescent="0.3">
      <c r="B178" t="s">
        <v>101</v>
      </c>
      <c r="C178" s="12">
        <f>C176-C177</f>
        <v>16.666666666666671</v>
      </c>
    </row>
    <row r="180" spans="2:13" x14ac:dyDescent="0.25">
      <c r="C180" s="19">
        <v>4</v>
      </c>
      <c r="E180">
        <v>106.22</v>
      </c>
      <c r="F180" s="7">
        <f>C180/E180</f>
        <v>3.7657691583505931E-2</v>
      </c>
      <c r="G180" s="5">
        <v>0.08</v>
      </c>
      <c r="H180" s="13">
        <f>G180-F180</f>
        <v>4.2342308416494071E-2</v>
      </c>
      <c r="I180" s="13">
        <v>0.08</v>
      </c>
      <c r="K180" s="5"/>
      <c r="M180" s="13"/>
    </row>
    <row r="181" spans="2:13" x14ac:dyDescent="0.25">
      <c r="C181">
        <f>4/(G181-H181)</f>
        <v>106.22</v>
      </c>
      <c r="G181" s="5">
        <v>0.1</v>
      </c>
      <c r="H181" s="13">
        <f>G181-F180</f>
        <v>6.2342308416494074E-2</v>
      </c>
      <c r="I181" s="7">
        <f>4%*0.8</f>
        <v>3.2000000000000001E-2</v>
      </c>
      <c r="J181" s="13"/>
      <c r="K181" s="5"/>
      <c r="M181" s="29"/>
    </row>
    <row r="182" spans="2:13" x14ac:dyDescent="0.25">
      <c r="C182">
        <f>2/8%</f>
        <v>25</v>
      </c>
      <c r="E182" s="13"/>
      <c r="I182" s="18"/>
      <c r="J182" s="18"/>
    </row>
    <row r="183" spans="2:13" x14ac:dyDescent="0.25">
      <c r="E183">
        <v>0</v>
      </c>
      <c r="F183">
        <v>1</v>
      </c>
      <c r="G183">
        <v>2</v>
      </c>
      <c r="H183">
        <v>3</v>
      </c>
      <c r="I183">
        <v>4</v>
      </c>
      <c r="J183">
        <v>5</v>
      </c>
      <c r="K183">
        <v>6</v>
      </c>
    </row>
    <row r="184" spans="2:13" x14ac:dyDescent="0.25">
      <c r="E184">
        <v>4</v>
      </c>
      <c r="F184">
        <f>E184*1.04</f>
        <v>4.16</v>
      </c>
      <c r="G184" s="19">
        <f t="shared" ref="G184:K184" si="13">F184*1.04</f>
        <v>4.3264000000000005</v>
      </c>
      <c r="H184" s="19">
        <f t="shared" si="13"/>
        <v>4.4994560000000003</v>
      </c>
      <c r="I184" s="19">
        <f t="shared" si="13"/>
        <v>4.6794342400000009</v>
      </c>
      <c r="J184" s="19">
        <f t="shared" si="13"/>
        <v>4.8666116096000014</v>
      </c>
      <c r="K184" s="19">
        <f t="shared" si="13"/>
        <v>5.0612760739840015</v>
      </c>
    </row>
    <row r="185" spans="2:13" x14ac:dyDescent="0.25">
      <c r="C185" t="s">
        <v>88</v>
      </c>
      <c r="D185">
        <v>100</v>
      </c>
      <c r="H185" s="7"/>
      <c r="I185" s="7"/>
    </row>
    <row r="186" spans="2:13" x14ac:dyDescent="0.25">
      <c r="E186">
        <v>6</v>
      </c>
      <c r="F186">
        <f>E186*1.04</f>
        <v>6.24</v>
      </c>
      <c r="G186" s="19">
        <f t="shared" ref="G186:K186" si="14">F186*1.04</f>
        <v>6.4896000000000003</v>
      </c>
      <c r="H186" s="19">
        <f t="shared" si="14"/>
        <v>6.7491840000000005</v>
      </c>
      <c r="I186" s="19">
        <f t="shared" si="14"/>
        <v>7.0191513600000004</v>
      </c>
      <c r="J186" s="19">
        <f t="shared" si="14"/>
        <v>7.2999174144000003</v>
      </c>
      <c r="K186" s="19">
        <f t="shared" si="14"/>
        <v>7.5919141109760009</v>
      </c>
    </row>
    <row r="187" spans="2:13" x14ac:dyDescent="0.25">
      <c r="D187" s="19">
        <f>4/(10%-6.24%)</f>
        <v>106.38297872340425</v>
      </c>
      <c r="I187" s="7"/>
    </row>
    <row r="188" spans="2:13" x14ac:dyDescent="0.25">
      <c r="F188" s="19"/>
      <c r="G188" s="19"/>
      <c r="H188" s="19"/>
      <c r="I188" s="19"/>
      <c r="J188" s="19"/>
      <c r="K188" s="19"/>
    </row>
    <row r="189" spans="2:13" x14ac:dyDescent="0.25">
      <c r="F189" s="19"/>
      <c r="G189" s="19"/>
      <c r="H189" s="19"/>
      <c r="I189" s="19"/>
      <c r="J189" s="19"/>
      <c r="K189" s="19"/>
    </row>
    <row r="190" spans="2:13" x14ac:dyDescent="0.25">
      <c r="D190">
        <v>0</v>
      </c>
      <c r="E190">
        <v>1</v>
      </c>
      <c r="F190">
        <v>2</v>
      </c>
      <c r="G190">
        <v>3</v>
      </c>
      <c r="H190">
        <v>4</v>
      </c>
      <c r="I190">
        <v>5</v>
      </c>
      <c r="J190">
        <v>6</v>
      </c>
      <c r="K190">
        <v>7</v>
      </c>
    </row>
    <row r="191" spans="2:13" x14ac:dyDescent="0.25">
      <c r="D191" s="19"/>
      <c r="E191" s="66">
        <v>4</v>
      </c>
      <c r="F191">
        <v>2</v>
      </c>
      <c r="G191" s="33">
        <v>2</v>
      </c>
      <c r="H191">
        <v>2</v>
      </c>
      <c r="I191">
        <v>2</v>
      </c>
      <c r="J191">
        <v>2</v>
      </c>
      <c r="K191">
        <v>4</v>
      </c>
    </row>
    <row r="192" spans="2:13" x14ac:dyDescent="0.25">
      <c r="C192" t="s">
        <v>88</v>
      </c>
      <c r="D192">
        <v>100</v>
      </c>
    </row>
    <row r="193" spans="4:11" x14ac:dyDescent="0.25">
      <c r="D193" s="19"/>
      <c r="E193">
        <v>6</v>
      </c>
      <c r="F193">
        <v>8</v>
      </c>
      <c r="G193">
        <v>8</v>
      </c>
      <c r="H193">
        <v>8</v>
      </c>
      <c r="I193">
        <v>8</v>
      </c>
      <c r="J193">
        <v>8</v>
      </c>
      <c r="K193">
        <v>6</v>
      </c>
    </row>
    <row r="195" spans="4:11" x14ac:dyDescent="0.25">
      <c r="D195" t="s">
        <v>115</v>
      </c>
      <c r="F195" s="19">
        <f>2/(10%-8%)</f>
        <v>99.999999999999986</v>
      </c>
    </row>
    <row r="196" spans="4:11" x14ac:dyDescent="0.25">
      <c r="F196" s="65">
        <f>F191/1.1</f>
        <v>1.8181818181818181</v>
      </c>
    </row>
    <row r="197" spans="4:11" x14ac:dyDescent="0.25">
      <c r="F197" s="67">
        <f>4*1.1</f>
        <v>4.4000000000000004</v>
      </c>
    </row>
    <row r="198" spans="4:11" x14ac:dyDescent="0.25">
      <c r="D198" t="s">
        <v>115</v>
      </c>
      <c r="E198" s="19">
        <f>SUM(F195:F197)</f>
        <v>106.2181818181818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BETA CALC</vt:lpstr>
      <vt:lpstr>364</vt:lpstr>
      <vt:lpstr>179</vt:lpstr>
      <vt:lpstr>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BAŞARAN</dc:creator>
  <cp:lastModifiedBy>Şefika Nilay ONATÇA</cp:lastModifiedBy>
  <dcterms:created xsi:type="dcterms:W3CDTF">2016-12-13T06:08:56Z</dcterms:created>
  <dcterms:modified xsi:type="dcterms:W3CDTF">2016-12-27T13:45:08Z</dcterms:modified>
</cp:coreProperties>
</file>