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2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65" i="1" l="1"/>
  <c r="G257" i="1"/>
  <c r="H248" i="1"/>
  <c r="E260" i="1"/>
  <c r="E255" i="1"/>
  <c r="F260" i="1"/>
  <c r="F257" i="1"/>
  <c r="F255" i="1"/>
  <c r="F252" i="1"/>
  <c r="F253" i="1"/>
  <c r="F256" i="1"/>
  <c r="F258" i="1"/>
  <c r="F259" i="1"/>
  <c r="F251" i="1"/>
  <c r="E249" i="1"/>
  <c r="E248" i="1"/>
  <c r="G242" i="1"/>
  <c r="F245" i="1"/>
  <c r="F242" i="1"/>
  <c r="F244" i="1"/>
  <c r="F241" i="1"/>
  <c r="F237" i="1"/>
  <c r="F238" i="1"/>
  <c r="F239" i="1"/>
  <c r="F240" i="1"/>
  <c r="F236" i="1"/>
  <c r="F233" i="1"/>
  <c r="F232" i="1"/>
  <c r="F231" i="1"/>
  <c r="F230" i="1"/>
  <c r="F229" i="1"/>
  <c r="F228" i="1"/>
  <c r="F226" i="1"/>
  <c r="F227" i="1"/>
  <c r="F225" i="1"/>
  <c r="E245" i="1"/>
  <c r="E240" i="1"/>
  <c r="E220" i="1"/>
  <c r="I208" i="1"/>
  <c r="I209" i="1"/>
  <c r="I212" i="1"/>
  <c r="D212" i="1"/>
  <c r="E195" i="1"/>
  <c r="D199" i="1"/>
  <c r="C191" i="1"/>
  <c r="D183" i="1"/>
  <c r="D184" i="1"/>
  <c r="G178" i="1"/>
  <c r="F178" i="1"/>
  <c r="G174" i="1"/>
  <c r="G173" i="1"/>
  <c r="G170" i="1"/>
  <c r="E170" i="1"/>
  <c r="D170" i="1"/>
  <c r="G168" i="1"/>
  <c r="E168" i="1"/>
  <c r="D168" i="1"/>
  <c r="G167" i="1"/>
  <c r="N158" i="1"/>
  <c r="M158" i="1"/>
  <c r="L158" i="1"/>
  <c r="K158" i="1"/>
  <c r="K160" i="1"/>
  <c r="K161" i="1"/>
  <c r="K163" i="1"/>
  <c r="K162" i="1"/>
  <c r="J163" i="1"/>
  <c r="H158" i="1"/>
  <c r="D163" i="1" l="1"/>
  <c r="G156" i="1"/>
  <c r="G155" i="1"/>
  <c r="G154" i="1"/>
  <c r="E154" i="1"/>
  <c r="D154" i="1"/>
  <c r="H131" i="1"/>
  <c r="G131" i="1"/>
  <c r="H128" i="1"/>
  <c r="H129" i="1"/>
  <c r="H124" i="1"/>
  <c r="H123" i="1"/>
  <c r="G124" i="1"/>
  <c r="G123" i="1"/>
  <c r="H112" i="1"/>
  <c r="H113" i="1"/>
  <c r="H115" i="1" s="1"/>
  <c r="H116" i="1" s="1"/>
  <c r="H117" i="1" s="1"/>
  <c r="H118" i="1" s="1"/>
  <c r="H119" i="1" s="1"/>
  <c r="H111" i="1"/>
  <c r="G112" i="1"/>
  <c r="G111" i="1"/>
  <c r="E141" i="1"/>
  <c r="E137" i="1"/>
  <c r="E130" i="1"/>
  <c r="H130" i="1" s="1"/>
  <c r="E125" i="1"/>
  <c r="F125" i="1" s="1"/>
  <c r="F124" i="1"/>
  <c r="F123" i="1"/>
  <c r="E113" i="1"/>
  <c r="E115" i="1" s="1"/>
  <c r="F112" i="1"/>
  <c r="E107" i="1"/>
  <c r="E103" i="1"/>
  <c r="E96" i="1"/>
  <c r="E91" i="1"/>
  <c r="F91" i="1" s="1"/>
  <c r="G91" i="1" s="1"/>
  <c r="F90" i="1"/>
  <c r="G90" i="1" s="1"/>
  <c r="H90" i="1" s="1"/>
  <c r="F89" i="1"/>
  <c r="G89" i="1" s="1"/>
  <c r="H89" i="1" s="1"/>
  <c r="E79" i="1"/>
  <c r="E81" i="1" s="1"/>
  <c r="G78" i="1"/>
  <c r="F78" i="1"/>
  <c r="G77" i="1"/>
  <c r="I77" i="1" s="1"/>
  <c r="G125" i="1" l="1"/>
  <c r="G113" i="1"/>
  <c r="H125" i="1"/>
  <c r="G79" i="1"/>
  <c r="G81" i="1" s="1"/>
  <c r="G82" i="1" s="1"/>
  <c r="G83" i="1" s="1"/>
  <c r="G84" i="1" s="1"/>
  <c r="E116" i="1"/>
  <c r="E117" i="1" s="1"/>
  <c r="E119" i="1" s="1"/>
  <c r="G115" i="1"/>
  <c r="I90" i="1"/>
  <c r="I89" i="1"/>
  <c r="I78" i="1"/>
  <c r="I79" i="1" s="1"/>
  <c r="E82" i="1"/>
  <c r="E83" i="1" s="1"/>
  <c r="E85" i="1" s="1"/>
  <c r="I70" i="1"/>
  <c r="K69" i="1"/>
  <c r="I69" i="1" s="1"/>
  <c r="E64" i="1"/>
  <c r="F45" i="1"/>
  <c r="H62" i="1" s="1"/>
  <c r="E62" i="1"/>
  <c r="E65" i="1" s="1"/>
  <c r="H61" i="1" s="1"/>
  <c r="E56" i="1"/>
  <c r="E50" i="1"/>
  <c r="E41" i="1"/>
  <c r="E40" i="1"/>
  <c r="E43" i="1" s="1"/>
  <c r="F33" i="1"/>
  <c r="F34" i="1" s="1"/>
  <c r="D33" i="1"/>
  <c r="D34" i="1" s="1"/>
  <c r="G37" i="1"/>
  <c r="J37" i="1" s="1"/>
  <c r="G36" i="1"/>
  <c r="J36" i="1" s="1"/>
  <c r="F27" i="1"/>
  <c r="G16" i="1"/>
  <c r="G17" i="1"/>
  <c r="G18" i="1"/>
  <c r="G20" i="1"/>
  <c r="G21" i="1"/>
  <c r="G22" i="1"/>
  <c r="G15" i="1"/>
  <c r="E20" i="1"/>
  <c r="E21" i="1"/>
  <c r="E22" i="1"/>
  <c r="E23" i="1" s="1"/>
  <c r="E16" i="1"/>
  <c r="E17" i="1"/>
  <c r="E18" i="1"/>
  <c r="E15" i="1"/>
  <c r="F22" i="1"/>
  <c r="F23" i="1" s="1"/>
  <c r="F21" i="1"/>
  <c r="F20" i="1"/>
  <c r="F18" i="1"/>
  <c r="F17" i="1"/>
  <c r="F16" i="1"/>
  <c r="F15" i="1"/>
  <c r="E7" i="1"/>
  <c r="E8" i="1"/>
  <c r="E9" i="1"/>
  <c r="E3" i="1"/>
  <c r="F3" i="1" s="1"/>
  <c r="E4" i="1"/>
  <c r="F4" i="1" s="1"/>
  <c r="E5" i="1"/>
  <c r="E2" i="1"/>
  <c r="G43" i="1" l="1"/>
  <c r="H43" i="1"/>
  <c r="I43" i="1" s="1"/>
  <c r="F24" i="1"/>
  <c r="F25" i="1" s="1"/>
  <c r="E44" i="1"/>
  <c r="H69" i="1" s="1"/>
  <c r="F28" i="1"/>
  <c r="F29" i="1" s="1"/>
  <c r="I91" i="1"/>
  <c r="I96" i="1" s="1"/>
  <c r="G116" i="1"/>
  <c r="G117" i="1" s="1"/>
  <c r="G85" i="1"/>
  <c r="G95" i="1" s="1"/>
  <c r="G33" i="1"/>
  <c r="E24" i="1"/>
  <c r="E25" i="1" s="1"/>
  <c r="G23" i="1"/>
  <c r="G24" i="1" s="1"/>
  <c r="G25" i="1" s="1"/>
  <c r="H70" i="1" l="1"/>
  <c r="G118" i="1"/>
  <c r="G119" i="1" s="1"/>
  <c r="G129" i="1" s="1"/>
  <c r="E45" i="1"/>
  <c r="E46" i="1" s="1"/>
  <c r="E58" i="1" s="1"/>
  <c r="E57" i="1" s="1"/>
  <c r="E59" i="1" s="1"/>
  <c r="G94" i="1"/>
  <c r="E52" i="1"/>
  <c r="E51" i="1" s="1"/>
  <c r="G32" i="1"/>
  <c r="G31" i="1"/>
  <c r="G128" i="1" l="1"/>
  <c r="G97" i="1"/>
  <c r="G96" i="1"/>
  <c r="I80" i="1"/>
  <c r="I81" i="1" s="1"/>
  <c r="H55" i="1"/>
  <c r="H49" i="1"/>
  <c r="E53" i="1"/>
  <c r="G130" i="1" l="1"/>
  <c r="I82" i="1"/>
  <c r="I83" i="1" s="1"/>
  <c r="I84" i="1" s="1"/>
  <c r="I85" i="1" l="1"/>
  <c r="I95" i="1" s="1"/>
  <c r="I94" i="1" s="1"/>
  <c r="I97" i="1" s="1"/>
</calcChain>
</file>

<file path=xl/sharedStrings.xml><?xml version="1.0" encoding="utf-8"?>
<sst xmlns="http://schemas.openxmlformats.org/spreadsheetml/2006/main" count="269" uniqueCount="119">
  <si>
    <t>9.</t>
  </si>
  <si>
    <t>Assets</t>
  </si>
  <si>
    <t>Debt</t>
  </si>
  <si>
    <t>Equity</t>
  </si>
  <si>
    <t>Liab Total</t>
  </si>
  <si>
    <t>Sales</t>
  </si>
  <si>
    <t>Cost</t>
  </si>
  <si>
    <t>Net Income</t>
  </si>
  <si>
    <t>Dividends</t>
  </si>
  <si>
    <t>10.</t>
  </si>
  <si>
    <t>Retained Earnnigs</t>
  </si>
  <si>
    <t>Required External Financing</t>
  </si>
  <si>
    <t>11.</t>
  </si>
  <si>
    <t>ROE*Plowback</t>
  </si>
  <si>
    <t>Internal Growth Rate=</t>
  </si>
  <si>
    <t>Sustainable Growth Rate=</t>
  </si>
  <si>
    <t>ROE*Plowback*Equity/Assets</t>
  </si>
  <si>
    <t>Dividends (50%)</t>
  </si>
  <si>
    <t>Equity/Assets</t>
  </si>
  <si>
    <t>12.</t>
  </si>
  <si>
    <t>Interest</t>
  </si>
  <si>
    <t>a.</t>
  </si>
  <si>
    <t>Dividends 70%</t>
  </si>
  <si>
    <t>b.</t>
  </si>
  <si>
    <t>c.</t>
  </si>
  <si>
    <t>13.</t>
  </si>
  <si>
    <t>ROE=</t>
  </si>
  <si>
    <t>575/2000</t>
  </si>
  <si>
    <t>Taxes 25%</t>
  </si>
  <si>
    <t>14.</t>
  </si>
  <si>
    <t>Inputs</t>
  </si>
  <si>
    <t>Income Statement</t>
  </si>
  <si>
    <t>Growth Rate</t>
  </si>
  <si>
    <t>Revenue</t>
  </si>
  <si>
    <t>Tax Rate</t>
  </si>
  <si>
    <t>COGS</t>
  </si>
  <si>
    <t>Interest Rate</t>
  </si>
  <si>
    <t>EBIT</t>
  </si>
  <si>
    <t>NWC/Sales</t>
  </si>
  <si>
    <t>Fixed Assets/Sales</t>
  </si>
  <si>
    <t>Earnings Before Taxes</t>
  </si>
  <si>
    <t>COGS/Sales</t>
  </si>
  <si>
    <t>Taxes</t>
  </si>
  <si>
    <t>Payout Ratio</t>
  </si>
  <si>
    <t>.2/3</t>
  </si>
  <si>
    <t>Retained Earnings</t>
  </si>
  <si>
    <t>Balance Sheet (year end)</t>
  </si>
  <si>
    <t>ASSETS</t>
  </si>
  <si>
    <t>Net Working Capital</t>
  </si>
  <si>
    <t>Fixed Asstes</t>
  </si>
  <si>
    <t>Total Assets</t>
  </si>
  <si>
    <t>Liabilities &amp; Shareholder's Equity</t>
  </si>
  <si>
    <t>Long-term Debt</t>
  </si>
  <si>
    <t>Shareholder's Equity</t>
  </si>
  <si>
    <t>Total</t>
  </si>
  <si>
    <t>Sources</t>
  </si>
  <si>
    <t>New Borrowing</t>
  </si>
  <si>
    <t>Uses</t>
  </si>
  <si>
    <t>Investment in Working Capital</t>
  </si>
  <si>
    <t>Investment in Fixed Assets</t>
  </si>
  <si>
    <t>.1/3</t>
  </si>
  <si>
    <t>15.</t>
  </si>
  <si>
    <t>Net Sales</t>
  </si>
  <si>
    <t>Dividends Paid</t>
  </si>
  <si>
    <t>17.</t>
  </si>
  <si>
    <t>18.</t>
  </si>
  <si>
    <t>Asset Turnover=Sales/Assets</t>
  </si>
  <si>
    <t>Payout</t>
  </si>
  <si>
    <t>ROE=Growth/Plowback</t>
  </si>
  <si>
    <t>Profit Margin=Net Income/Sales</t>
  </si>
  <si>
    <t>Dividend</t>
  </si>
  <si>
    <t>Retained</t>
  </si>
  <si>
    <t>ROE</t>
  </si>
  <si>
    <t>19.</t>
  </si>
  <si>
    <t>20.</t>
  </si>
  <si>
    <t>21.</t>
  </si>
  <si>
    <t>Plowback</t>
  </si>
  <si>
    <t>22.</t>
  </si>
  <si>
    <t>Debt/Equity</t>
  </si>
  <si>
    <t>18%*44,44%*1/4</t>
  </si>
  <si>
    <t>23.</t>
  </si>
  <si>
    <t>?</t>
  </si>
  <si>
    <t>all equity financed</t>
  </si>
  <si>
    <t>10%=ROE*50%</t>
  </si>
  <si>
    <t>Sales=2*Equity</t>
  </si>
  <si>
    <t>ROE=Net Income/Equity</t>
  </si>
  <si>
    <t>Net Income=ROE*Equity</t>
  </si>
  <si>
    <t>Net Income=0,2*Equity</t>
  </si>
  <si>
    <t>24.</t>
  </si>
  <si>
    <t>ROE=6%Sales/(Sales/2)</t>
  </si>
  <si>
    <t>25.</t>
  </si>
  <si>
    <t>Growth Rate=</t>
  </si>
  <si>
    <t>ROE=6%Sales/(Sales/2)*1</t>
  </si>
  <si>
    <t>26.</t>
  </si>
  <si>
    <t>Growth Industries Income Statement</t>
  </si>
  <si>
    <t>Costs</t>
  </si>
  <si>
    <t>Interest Expense</t>
  </si>
  <si>
    <t>Taxable Income</t>
  </si>
  <si>
    <t>Taxes (35%)</t>
  </si>
  <si>
    <t>Growth Industries Balance Sheet</t>
  </si>
  <si>
    <t>Cash</t>
  </si>
  <si>
    <t>Accounts Receivable</t>
  </si>
  <si>
    <t>Inventories</t>
  </si>
  <si>
    <t>Net Plant &amp; Equipment</t>
  </si>
  <si>
    <t>Accounts Payable</t>
  </si>
  <si>
    <t>Long-Term Debt</t>
  </si>
  <si>
    <t>Total Liabilities</t>
  </si>
  <si>
    <t>Growth</t>
  </si>
  <si>
    <t>Full Capacity</t>
  </si>
  <si>
    <t xml:space="preserve">Interest Rate </t>
  </si>
  <si>
    <t>Dividends 40%</t>
  </si>
  <si>
    <t>27.</t>
  </si>
  <si>
    <t>28.</t>
  </si>
  <si>
    <t xml:space="preserve">If 75% capacity produces 200.000 sales than full capacity produces </t>
  </si>
  <si>
    <t>29.</t>
  </si>
  <si>
    <t>It will be higher :</t>
  </si>
  <si>
    <t>Reinvested Earnings/ Assets</t>
  </si>
  <si>
    <t>Cash &amp; Inventory may be lesser, so the value of assets will be lesser.</t>
  </si>
  <si>
    <t>Sales Growth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</si>
</sst>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0.0"/>
    <numFmt numFmtId="166" formatCode="0.00;[Red]0.00"/>
    <numFmt numFmtId="167" formatCode="0;[Red]0"/>
    <numFmt numFmtId="168" formatCode="0.0;[Red]0.0"/>
  </numFmts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9" fontId="0" fillId="0" borderId="0" xfId="0" applyNumberFormat="1"/>
    <xf numFmtId="0" fontId="4" fillId="0" borderId="0" xfId="0" applyFont="1"/>
    <xf numFmtId="12" fontId="0" fillId="0" borderId="0" xfId="0" applyNumberFormat="1"/>
    <xf numFmtId="9" fontId="5" fillId="0" borderId="0" xfId="1" applyFont="1"/>
    <xf numFmtId="9" fontId="2" fillId="0" borderId="0" xfId="1" applyFont="1"/>
    <xf numFmtId="164" fontId="2" fillId="0" borderId="0" xfId="1" applyNumberFormat="1" applyFont="1"/>
    <xf numFmtId="9" fontId="4" fillId="0" borderId="0" xfId="1" applyFont="1"/>
    <xf numFmtId="165" fontId="0" fillId="0" borderId="0" xfId="0" applyNumberFormat="1"/>
    <xf numFmtId="1" fontId="0" fillId="0" borderId="0" xfId="0" applyNumberFormat="1"/>
    <xf numFmtId="9" fontId="3" fillId="0" borderId="0" xfId="1" applyFont="1"/>
    <xf numFmtId="10" fontId="0" fillId="0" borderId="0" xfId="1" applyNumberFormat="1" applyFont="1"/>
    <xf numFmtId="166" fontId="0" fillId="0" borderId="0" xfId="0" applyNumberFormat="1"/>
    <xf numFmtId="166" fontId="6" fillId="0" borderId="0" xfId="0" applyNumberFormat="1" applyFont="1"/>
    <xf numFmtId="167" fontId="6" fillId="0" borderId="0" xfId="0" applyNumberFormat="1" applyFont="1"/>
    <xf numFmtId="166" fontId="0" fillId="0" borderId="0" xfId="1" applyNumberFormat="1" applyFont="1"/>
    <xf numFmtId="167" fontId="0" fillId="0" borderId="0" xfId="0" applyNumberFormat="1"/>
    <xf numFmtId="166" fontId="0" fillId="0" borderId="0" xfId="0" applyNumberFormat="1" applyAlignment="1">
      <alignment horizontal="right"/>
    </xf>
    <xf numFmtId="167" fontId="7" fillId="0" borderId="0" xfId="0" applyNumberFormat="1" applyFont="1"/>
    <xf numFmtId="168" fontId="0" fillId="0" borderId="0" xfId="0" applyNumberFormat="1"/>
    <xf numFmtId="168" fontId="7" fillId="0" borderId="0" xfId="0" applyNumberFormat="1" applyFont="1"/>
    <xf numFmtId="166" fontId="7" fillId="0" borderId="0" xfId="0" applyNumberFormat="1" applyFont="1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9" fontId="6" fillId="0" borderId="0" xfId="1" applyFont="1" applyAlignment="1">
      <alignment horizontal="center"/>
    </xf>
    <xf numFmtId="3" fontId="0" fillId="0" borderId="0" xfId="0" applyNumberFormat="1"/>
    <xf numFmtId="164" fontId="3" fillId="0" borderId="0" xfId="1" applyNumberFormat="1" applyFont="1"/>
    <xf numFmtId="10" fontId="0" fillId="0" borderId="0" xfId="0" applyNumberFormat="1"/>
    <xf numFmtId="9" fontId="0" fillId="0" borderId="0" xfId="1" applyFont="1"/>
    <xf numFmtId="0" fontId="8" fillId="0" borderId="0" xfId="0" applyFont="1"/>
    <xf numFmtId="164" fontId="0" fillId="0" borderId="0" xfId="1" applyNumberFormat="1" applyFont="1"/>
    <xf numFmtId="164" fontId="9" fillId="0" borderId="0" xfId="1" applyNumberFormat="1" applyFont="1"/>
    <xf numFmtId="0" fontId="9" fillId="0" borderId="0" xfId="0" applyFont="1"/>
    <xf numFmtId="9" fontId="9" fillId="0" borderId="0" xfId="1" applyFont="1"/>
    <xf numFmtId="2" fontId="0" fillId="0" borderId="0" xfId="0" applyNumberFormat="1"/>
    <xf numFmtId="2" fontId="3" fillId="0" borderId="0" xfId="0" applyNumberFormat="1" applyFont="1"/>
    <xf numFmtId="10" fontId="3" fillId="0" borderId="0" xfId="0" applyNumberFormat="1" applyFont="1"/>
    <xf numFmtId="10" fontId="3" fillId="0" borderId="0" xfId="1" applyNumberFormat="1" applyFont="1"/>
    <xf numFmtId="164" fontId="0" fillId="0" borderId="0" xfId="0" applyNumberFormat="1"/>
    <xf numFmtId="9" fontId="8" fillId="0" borderId="0" xfId="1" applyFont="1"/>
    <xf numFmtId="9" fontId="3" fillId="0" borderId="0" xfId="0" applyNumberFormat="1" applyFont="1"/>
    <xf numFmtId="3" fontId="3" fillId="0" borderId="0" xfId="0" applyNumberFormat="1" applyFont="1"/>
    <xf numFmtId="9" fontId="3" fillId="0" borderId="0" xfId="1" applyNumberFormat="1" applyFont="1"/>
    <xf numFmtId="3" fontId="9" fillId="0" borderId="0" xfId="0" applyNumberFormat="1" applyFont="1"/>
    <xf numFmtId="3" fontId="2" fillId="0" borderId="0" xfId="0" applyNumberFormat="1" applyFont="1"/>
    <xf numFmtId="0" fontId="3" fillId="0" borderId="0" xfId="0" applyFont="1" applyAlignment="1">
      <alignment horizontal="center"/>
    </xf>
    <xf numFmtId="3" fontId="10" fillId="0" borderId="0" xfId="0" applyNumberFormat="1" applyFont="1"/>
    <xf numFmtId="3" fontId="11" fillId="0" borderId="0" xfId="0" applyNumberFormat="1" applyFont="1"/>
    <xf numFmtId="3" fontId="12" fillId="0" borderId="0" xfId="0" applyNumberFormat="1" applyFont="1"/>
    <xf numFmtId="167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9"/>
  <sheetViews>
    <sheetView tabSelected="1" topLeftCell="A70" zoomScaleNormal="100" workbookViewId="0">
      <selection activeCell="C77" sqref="C77"/>
    </sheetView>
  </sheetViews>
  <sheetFormatPr defaultRowHeight="15" x14ac:dyDescent="0.25"/>
  <cols>
    <col min="1" max="1" width="7" customWidth="1"/>
    <col min="2" max="2" width="20.5703125" customWidth="1"/>
    <col min="3" max="3" width="11.42578125" customWidth="1"/>
    <col min="4" max="4" width="10.28515625" customWidth="1"/>
    <col min="6" max="6" width="15.28515625" customWidth="1"/>
    <col min="7" max="7" width="13" customWidth="1"/>
    <col min="8" max="8" width="14.85546875" customWidth="1"/>
    <col min="9" max="9" width="11.5703125" customWidth="1"/>
  </cols>
  <sheetData>
    <row r="1" spans="1:13" x14ac:dyDescent="0.25">
      <c r="A1" t="s">
        <v>0</v>
      </c>
      <c r="C1">
        <v>2011</v>
      </c>
      <c r="D1">
        <v>2012</v>
      </c>
      <c r="E1">
        <v>2013</v>
      </c>
    </row>
    <row r="2" spans="1:13" x14ac:dyDescent="0.25">
      <c r="B2" s="1" t="s">
        <v>1</v>
      </c>
      <c r="C2" s="1">
        <v>2500</v>
      </c>
      <c r="D2" s="1">
        <v>3000</v>
      </c>
      <c r="E2">
        <f>D2*1.2</f>
        <v>3600</v>
      </c>
    </row>
    <row r="3" spans="1:13" x14ac:dyDescent="0.25">
      <c r="B3" t="s">
        <v>2</v>
      </c>
      <c r="C3">
        <v>833</v>
      </c>
      <c r="D3">
        <v>1000</v>
      </c>
      <c r="E3">
        <f t="shared" ref="E3:E9" si="0">D3*1.2</f>
        <v>1200</v>
      </c>
      <c r="F3" s="2">
        <f>E3-D3</f>
        <v>200</v>
      </c>
    </row>
    <row r="4" spans="1:13" x14ac:dyDescent="0.25">
      <c r="B4" t="s">
        <v>3</v>
      </c>
      <c r="C4">
        <v>1667</v>
      </c>
      <c r="D4">
        <v>2000</v>
      </c>
      <c r="E4">
        <f t="shared" si="0"/>
        <v>2400</v>
      </c>
      <c r="F4">
        <f>E4-D4</f>
        <v>400</v>
      </c>
    </row>
    <row r="5" spans="1:13" x14ac:dyDescent="0.25">
      <c r="B5" s="1" t="s">
        <v>4</v>
      </c>
      <c r="C5" s="1">
        <v>2500</v>
      </c>
      <c r="D5" s="1">
        <v>3000</v>
      </c>
      <c r="E5">
        <f t="shared" si="0"/>
        <v>3600</v>
      </c>
      <c r="M5" s="5"/>
    </row>
    <row r="7" spans="1:13" x14ac:dyDescent="0.25">
      <c r="B7" t="s">
        <v>5</v>
      </c>
      <c r="D7">
        <v>2000</v>
      </c>
      <c r="E7">
        <f t="shared" si="0"/>
        <v>2400</v>
      </c>
    </row>
    <row r="8" spans="1:13" x14ac:dyDescent="0.25">
      <c r="B8" t="s">
        <v>6</v>
      </c>
      <c r="D8">
        <v>1500</v>
      </c>
      <c r="E8">
        <f t="shared" si="0"/>
        <v>1800</v>
      </c>
    </row>
    <row r="9" spans="1:13" x14ac:dyDescent="0.25">
      <c r="B9" t="s">
        <v>7</v>
      </c>
      <c r="D9">
        <v>500</v>
      </c>
      <c r="E9">
        <f t="shared" si="0"/>
        <v>600</v>
      </c>
    </row>
    <row r="10" spans="1:13" x14ac:dyDescent="0.25">
      <c r="B10" t="s">
        <v>10</v>
      </c>
      <c r="E10">
        <v>400</v>
      </c>
    </row>
    <row r="11" spans="1:13" x14ac:dyDescent="0.25">
      <c r="B11" t="s">
        <v>8</v>
      </c>
      <c r="E11" s="2">
        <v>200</v>
      </c>
    </row>
    <row r="13" spans="1:13" x14ac:dyDescent="0.25">
      <c r="E13" s="3">
        <v>0.15</v>
      </c>
      <c r="F13" s="3">
        <v>0.2</v>
      </c>
      <c r="G13" s="3">
        <v>0.25</v>
      </c>
    </row>
    <row r="14" spans="1:13" x14ac:dyDescent="0.25">
      <c r="A14" t="s">
        <v>9</v>
      </c>
      <c r="C14">
        <v>2011</v>
      </c>
      <c r="D14">
        <v>2012</v>
      </c>
      <c r="E14">
        <v>2013</v>
      </c>
      <c r="F14">
        <v>2013</v>
      </c>
      <c r="G14">
        <v>2013</v>
      </c>
    </row>
    <row r="15" spans="1:13" x14ac:dyDescent="0.25">
      <c r="B15" s="1" t="s">
        <v>1</v>
      </c>
      <c r="C15" s="1">
        <v>2500</v>
      </c>
      <c r="D15" s="1">
        <v>3000</v>
      </c>
      <c r="E15">
        <f>D15*1.15</f>
        <v>3449.9999999999995</v>
      </c>
      <c r="F15">
        <f>D15*1.2</f>
        <v>3600</v>
      </c>
      <c r="G15">
        <f>D15*1.25</f>
        <v>3750</v>
      </c>
    </row>
    <row r="16" spans="1:13" x14ac:dyDescent="0.25">
      <c r="B16" t="s">
        <v>2</v>
      </c>
      <c r="C16">
        <v>833</v>
      </c>
      <c r="D16">
        <v>1000</v>
      </c>
      <c r="E16">
        <f t="shared" ref="E16:E22" si="1">D16*1.15</f>
        <v>1150</v>
      </c>
      <c r="F16">
        <f>D16*1.2</f>
        <v>1200</v>
      </c>
      <c r="G16">
        <f t="shared" ref="G16:G22" si="2">D16*1.25</f>
        <v>1250</v>
      </c>
    </row>
    <row r="17" spans="1:7" x14ac:dyDescent="0.25">
      <c r="B17" t="s">
        <v>3</v>
      </c>
      <c r="C17">
        <v>1667</v>
      </c>
      <c r="D17">
        <v>2000</v>
      </c>
      <c r="E17">
        <f t="shared" si="1"/>
        <v>2300</v>
      </c>
      <c r="F17">
        <f>D17*1.2</f>
        <v>2400</v>
      </c>
      <c r="G17">
        <f t="shared" si="2"/>
        <v>2500</v>
      </c>
    </row>
    <row r="18" spans="1:7" x14ac:dyDescent="0.25">
      <c r="B18" s="1" t="s">
        <v>4</v>
      </c>
      <c r="C18" s="1">
        <v>2500</v>
      </c>
      <c r="D18" s="1">
        <v>3000</v>
      </c>
      <c r="E18">
        <f t="shared" si="1"/>
        <v>3449.9999999999995</v>
      </c>
      <c r="F18">
        <f>D18*1.2</f>
        <v>3600</v>
      </c>
      <c r="G18">
        <f t="shared" si="2"/>
        <v>3750</v>
      </c>
    </row>
    <row r="20" spans="1:7" x14ac:dyDescent="0.25">
      <c r="B20" t="s">
        <v>5</v>
      </c>
      <c r="D20">
        <v>2000</v>
      </c>
      <c r="E20">
        <f t="shared" si="1"/>
        <v>2300</v>
      </c>
      <c r="F20">
        <f>D20*1.2</f>
        <v>2400</v>
      </c>
      <c r="G20">
        <f t="shared" si="2"/>
        <v>2500</v>
      </c>
    </row>
    <row r="21" spans="1:7" x14ac:dyDescent="0.25">
      <c r="B21" t="s">
        <v>6</v>
      </c>
      <c r="D21">
        <v>1500</v>
      </c>
      <c r="E21">
        <f t="shared" si="1"/>
        <v>1724.9999999999998</v>
      </c>
      <c r="F21">
        <f>D21*1.2</f>
        <v>1800</v>
      </c>
      <c r="G21">
        <f t="shared" si="2"/>
        <v>1875</v>
      </c>
    </row>
    <row r="22" spans="1:7" x14ac:dyDescent="0.25">
      <c r="B22" t="s">
        <v>7</v>
      </c>
      <c r="D22">
        <v>500</v>
      </c>
      <c r="E22">
        <f t="shared" si="1"/>
        <v>575</v>
      </c>
      <c r="F22">
        <f>D22*1.2</f>
        <v>600</v>
      </c>
      <c r="G22">
        <f t="shared" si="2"/>
        <v>625</v>
      </c>
    </row>
    <row r="23" spans="1:7" x14ac:dyDescent="0.25">
      <c r="B23" t="s">
        <v>8</v>
      </c>
      <c r="E23">
        <f>E22/2</f>
        <v>287.5</v>
      </c>
      <c r="F23">
        <f t="shared" ref="F23:G23" si="3">F22/2</f>
        <v>300</v>
      </c>
      <c r="G23">
        <f t="shared" si="3"/>
        <v>312.5</v>
      </c>
    </row>
    <row r="24" spans="1:7" x14ac:dyDescent="0.25">
      <c r="B24" t="s">
        <v>10</v>
      </c>
      <c r="E24">
        <f>E22-E23</f>
        <v>287.5</v>
      </c>
      <c r="F24">
        <f t="shared" ref="F24:G24" si="4">F22-F23</f>
        <v>300</v>
      </c>
      <c r="G24">
        <f t="shared" si="4"/>
        <v>312.5</v>
      </c>
    </row>
    <row r="25" spans="1:7" x14ac:dyDescent="0.25">
      <c r="B25" s="4" t="s">
        <v>11</v>
      </c>
      <c r="C25" s="4"/>
      <c r="D25" s="4"/>
      <c r="E25" s="4">
        <f>E17-2000-E24</f>
        <v>12.5</v>
      </c>
      <c r="F25" s="4">
        <f t="shared" ref="F25:G25" si="5">F17-2000-F24</f>
        <v>100</v>
      </c>
      <c r="G25" s="4">
        <f t="shared" si="5"/>
        <v>187.5</v>
      </c>
    </row>
    <row r="27" spans="1:7" x14ac:dyDescent="0.25">
      <c r="A27" t="s">
        <v>12</v>
      </c>
      <c r="B27" t="s">
        <v>7</v>
      </c>
      <c r="D27">
        <v>500</v>
      </c>
      <c r="F27">
        <f>D27*1.2</f>
        <v>600</v>
      </c>
    </row>
    <row r="28" spans="1:7" x14ac:dyDescent="0.25">
      <c r="B28" t="s">
        <v>17</v>
      </c>
      <c r="F28">
        <f t="shared" ref="F28" si="6">F27/2</f>
        <v>300</v>
      </c>
    </row>
    <row r="29" spans="1:7" x14ac:dyDescent="0.25">
      <c r="B29" t="s">
        <v>10</v>
      </c>
      <c r="F29">
        <f t="shared" ref="F29" si="7">F27-F28</f>
        <v>300</v>
      </c>
    </row>
    <row r="30" spans="1:7" x14ac:dyDescent="0.25">
      <c r="B30" s="4" t="s">
        <v>11</v>
      </c>
      <c r="C30" s="4"/>
      <c r="D30" s="4"/>
      <c r="E30" s="4"/>
      <c r="F30" s="4"/>
      <c r="G30" s="4"/>
    </row>
    <row r="31" spans="1:7" x14ac:dyDescent="0.25">
      <c r="B31" t="s">
        <v>2</v>
      </c>
      <c r="D31">
        <v>1000</v>
      </c>
      <c r="F31">
        <v>1150</v>
      </c>
      <c r="G31" s="7">
        <f>G33*1/3</f>
        <v>4.9999999999999968E-2</v>
      </c>
    </row>
    <row r="32" spans="1:7" x14ac:dyDescent="0.25">
      <c r="B32" t="s">
        <v>3</v>
      </c>
      <c r="D32">
        <v>2000</v>
      </c>
      <c r="F32">
        <v>2300</v>
      </c>
      <c r="G32" s="7">
        <f>G33*2/3</f>
        <v>9.9999999999999936E-2</v>
      </c>
    </row>
    <row r="33" spans="1:10" x14ac:dyDescent="0.25">
      <c r="D33" s="1">
        <f>SUM(D31:D32)</f>
        <v>3000</v>
      </c>
      <c r="E33" s="1"/>
      <c r="F33" s="1">
        <f t="shared" ref="F33" si="8">SUM(F31:F32)</f>
        <v>3450</v>
      </c>
      <c r="G33" s="9">
        <f>F33/D33-1</f>
        <v>0.14999999999999991</v>
      </c>
    </row>
    <row r="34" spans="1:10" x14ac:dyDescent="0.25">
      <c r="B34" t="s">
        <v>18</v>
      </c>
      <c r="D34" s="8">
        <f>D32/D33</f>
        <v>0.66666666666666663</v>
      </c>
      <c r="E34" s="8"/>
      <c r="F34" s="8">
        <f t="shared" ref="F34" si="9">F32/F33</f>
        <v>0.66666666666666663</v>
      </c>
      <c r="G34" s="8"/>
    </row>
    <row r="36" spans="1:10" ht="15.75" x14ac:dyDescent="0.25">
      <c r="B36" t="s">
        <v>14</v>
      </c>
      <c r="D36" t="s">
        <v>16</v>
      </c>
      <c r="G36">
        <f>(600/2000)</f>
        <v>0.3</v>
      </c>
      <c r="H36" s="3">
        <v>0.5</v>
      </c>
      <c r="I36" s="5">
        <v>0.66666666666666696</v>
      </c>
      <c r="J36" s="6">
        <f>G36*H36*I36</f>
        <v>0.10000000000000005</v>
      </c>
    </row>
    <row r="37" spans="1:10" ht="15.75" x14ac:dyDescent="0.25">
      <c r="B37" t="s">
        <v>15</v>
      </c>
      <c r="D37" t="s">
        <v>13</v>
      </c>
      <c r="G37">
        <f>(600/2000)</f>
        <v>0.3</v>
      </c>
      <c r="H37" s="3">
        <v>0.5</v>
      </c>
      <c r="J37" s="6">
        <f>G37*H37</f>
        <v>0.15</v>
      </c>
    </row>
    <row r="39" spans="1:10" x14ac:dyDescent="0.25">
      <c r="D39">
        <v>2012</v>
      </c>
      <c r="E39">
        <v>2013</v>
      </c>
    </row>
    <row r="40" spans="1:10" x14ac:dyDescent="0.25">
      <c r="A40" t="s">
        <v>19</v>
      </c>
      <c r="B40" t="s">
        <v>5</v>
      </c>
      <c r="D40">
        <v>950</v>
      </c>
      <c r="E40">
        <f>D40*1.15</f>
        <v>1092.5</v>
      </c>
    </row>
    <row r="41" spans="1:10" x14ac:dyDescent="0.25">
      <c r="B41" t="s">
        <v>6</v>
      </c>
      <c r="D41">
        <v>250</v>
      </c>
      <c r="E41">
        <f>D41*1.15</f>
        <v>287.5</v>
      </c>
    </row>
    <row r="42" spans="1:10" x14ac:dyDescent="0.25">
      <c r="B42" t="s">
        <v>20</v>
      </c>
      <c r="D42">
        <v>50</v>
      </c>
      <c r="E42">
        <v>50</v>
      </c>
    </row>
    <row r="43" spans="1:10" x14ac:dyDescent="0.25">
      <c r="B43" t="s">
        <v>28</v>
      </c>
      <c r="D43">
        <v>150</v>
      </c>
      <c r="E43" s="10">
        <f>(E40-E41-E42)*(25%)</f>
        <v>188.75</v>
      </c>
      <c r="G43">
        <f>E40-E41-E42</f>
        <v>755</v>
      </c>
      <c r="H43">
        <f>0.25*G43</f>
        <v>188.75</v>
      </c>
      <c r="I43">
        <f>G43-H43</f>
        <v>566.25</v>
      </c>
    </row>
    <row r="44" spans="1:10" x14ac:dyDescent="0.25">
      <c r="B44" t="s">
        <v>7</v>
      </c>
      <c r="D44">
        <v>500</v>
      </c>
      <c r="E44" s="11">
        <f>(E40-E41-E42-E43)</f>
        <v>566.25</v>
      </c>
      <c r="F44">
        <v>575</v>
      </c>
    </row>
    <row r="45" spans="1:10" x14ac:dyDescent="0.25">
      <c r="B45" t="s">
        <v>22</v>
      </c>
      <c r="E45" s="11">
        <f>E44*0.7</f>
        <v>396.375</v>
      </c>
      <c r="F45">
        <f>F44-F46</f>
        <v>225</v>
      </c>
    </row>
    <row r="46" spans="1:10" x14ac:dyDescent="0.25">
      <c r="B46" t="s">
        <v>10</v>
      </c>
      <c r="E46" s="11">
        <f>E44-E45</f>
        <v>169.875</v>
      </c>
      <c r="F46">
        <v>350</v>
      </c>
    </row>
    <row r="47" spans="1:10" x14ac:dyDescent="0.25">
      <c r="B47" s="4" t="s">
        <v>11</v>
      </c>
      <c r="C47" s="4"/>
      <c r="D47" s="4"/>
    </row>
    <row r="49" spans="2:8" x14ac:dyDescent="0.25">
      <c r="C49">
        <v>2011</v>
      </c>
      <c r="D49">
        <v>2012</v>
      </c>
      <c r="E49">
        <v>2013</v>
      </c>
      <c r="G49" t="s">
        <v>21</v>
      </c>
      <c r="H49" s="11">
        <f>E51-D51</f>
        <v>280.12499999999955</v>
      </c>
    </row>
    <row r="50" spans="2:8" x14ac:dyDescent="0.25">
      <c r="B50" s="1" t="s">
        <v>1</v>
      </c>
      <c r="C50" s="1">
        <v>2700</v>
      </c>
      <c r="D50" s="1">
        <v>3000</v>
      </c>
      <c r="E50">
        <f>D50*1.15</f>
        <v>3449.9999999999995</v>
      </c>
      <c r="H50" s="11"/>
    </row>
    <row r="51" spans="2:8" x14ac:dyDescent="0.25">
      <c r="B51" t="s">
        <v>2</v>
      </c>
      <c r="C51">
        <v>900</v>
      </c>
      <c r="D51">
        <v>1000</v>
      </c>
      <c r="E51" s="11">
        <f>E50-E52</f>
        <v>1280.1249999999995</v>
      </c>
      <c r="H51" s="11"/>
    </row>
    <row r="52" spans="2:8" x14ac:dyDescent="0.25">
      <c r="B52" t="s">
        <v>3</v>
      </c>
      <c r="C52">
        <v>1800</v>
      </c>
      <c r="D52">
        <v>2000</v>
      </c>
      <c r="E52" s="11">
        <f>D52+E46</f>
        <v>2169.875</v>
      </c>
      <c r="H52" s="11"/>
    </row>
    <row r="53" spans="2:8" x14ac:dyDescent="0.25">
      <c r="B53" s="1" t="s">
        <v>4</v>
      </c>
      <c r="C53" s="1">
        <v>2700</v>
      </c>
      <c r="D53" s="1">
        <v>3000</v>
      </c>
      <c r="E53" s="11">
        <f>SUM(E51:E52)</f>
        <v>3449.9999999999995</v>
      </c>
      <c r="H53" s="11"/>
    </row>
    <row r="54" spans="2:8" x14ac:dyDescent="0.25">
      <c r="H54" s="11"/>
    </row>
    <row r="55" spans="2:8" x14ac:dyDescent="0.25">
      <c r="D55">
        <v>2012</v>
      </c>
      <c r="E55">
        <v>2013</v>
      </c>
      <c r="G55" t="s">
        <v>23</v>
      </c>
      <c r="H55" s="11">
        <f t="shared" ref="H55" si="10">E57-D57</f>
        <v>280.12499999999955</v>
      </c>
    </row>
    <row r="56" spans="2:8" x14ac:dyDescent="0.25">
      <c r="D56" s="1">
        <v>3000</v>
      </c>
      <c r="E56">
        <f>D56*1.15</f>
        <v>3449.9999999999995</v>
      </c>
      <c r="H56" s="11"/>
    </row>
    <row r="57" spans="2:8" x14ac:dyDescent="0.25">
      <c r="D57">
        <v>1000</v>
      </c>
      <c r="E57" s="11">
        <f>E56-E58</f>
        <v>1280.1249999999995</v>
      </c>
      <c r="H57" s="11"/>
    </row>
    <row r="58" spans="2:8" x14ac:dyDescent="0.25">
      <c r="D58">
        <v>2000</v>
      </c>
      <c r="E58" s="11">
        <f>D58+E46</f>
        <v>2169.875</v>
      </c>
      <c r="H58" s="11"/>
    </row>
    <row r="59" spans="2:8" x14ac:dyDescent="0.25">
      <c r="D59" s="1">
        <v>3000</v>
      </c>
      <c r="E59" s="11">
        <f>SUM(E57:E58)</f>
        <v>3449.9999999999995</v>
      </c>
      <c r="H59" s="11"/>
    </row>
    <row r="60" spans="2:8" x14ac:dyDescent="0.25">
      <c r="H60" s="11"/>
    </row>
    <row r="61" spans="2:8" x14ac:dyDescent="0.25">
      <c r="D61">
        <v>2012</v>
      </c>
      <c r="E61">
        <v>2013</v>
      </c>
      <c r="G61" t="s">
        <v>24</v>
      </c>
      <c r="H61" s="11">
        <f>E65-D65</f>
        <v>450</v>
      </c>
    </row>
    <row r="62" spans="2:8" x14ac:dyDescent="0.25">
      <c r="D62" s="1">
        <v>3000</v>
      </c>
      <c r="E62">
        <f>D62*1.15</f>
        <v>3449.9999999999995</v>
      </c>
      <c r="H62" s="12">
        <f>F45/F44</f>
        <v>0.39130434782608697</v>
      </c>
    </row>
    <row r="63" spans="2:8" x14ac:dyDescent="0.25">
      <c r="D63">
        <v>1000</v>
      </c>
      <c r="E63" s="11">
        <v>1100</v>
      </c>
    </row>
    <row r="64" spans="2:8" x14ac:dyDescent="0.25">
      <c r="D64">
        <v>2000</v>
      </c>
      <c r="E64" s="11">
        <f>D64+F46</f>
        <v>2350</v>
      </c>
    </row>
    <row r="65" spans="1:11" x14ac:dyDescent="0.25">
      <c r="D65" s="1">
        <v>3000</v>
      </c>
      <c r="E65" s="11">
        <f>SUM(E63:E64)</f>
        <v>3450</v>
      </c>
    </row>
    <row r="69" spans="1:11" x14ac:dyDescent="0.25">
      <c r="A69" t="s">
        <v>25</v>
      </c>
      <c r="B69" t="s">
        <v>14</v>
      </c>
      <c r="D69" t="s">
        <v>16</v>
      </c>
      <c r="H69" s="13">
        <f>(E44/2000)*30%*(2/3)</f>
        <v>5.6624999999999995E-2</v>
      </c>
      <c r="I69" s="13">
        <f>(K69/2000)*30%*(2/3)</f>
        <v>5.5599999999999997E-2</v>
      </c>
      <c r="K69">
        <f>5.56%*2000/(30%*(2/3))</f>
        <v>556</v>
      </c>
    </row>
    <row r="70" spans="1:11" x14ac:dyDescent="0.25">
      <c r="B70" t="s">
        <v>15</v>
      </c>
      <c r="D70" t="s">
        <v>13</v>
      </c>
      <c r="H70" s="13">
        <f>(E44/2000)*30%</f>
        <v>8.4937499999999999E-2</v>
      </c>
      <c r="I70" s="13">
        <f>(K69/2000)*30%</f>
        <v>8.3400000000000002E-2</v>
      </c>
    </row>
    <row r="71" spans="1:11" x14ac:dyDescent="0.25">
      <c r="B71" t="s">
        <v>26</v>
      </c>
      <c r="C71" t="s">
        <v>27</v>
      </c>
    </row>
    <row r="75" spans="1:11" x14ac:dyDescent="0.25">
      <c r="A75" t="s">
        <v>29</v>
      </c>
      <c r="B75" s="14" t="s">
        <v>30</v>
      </c>
      <c r="C75" s="14"/>
      <c r="D75" s="14"/>
      <c r="E75" s="14"/>
      <c r="F75" s="14"/>
      <c r="G75" s="14"/>
      <c r="H75" s="14"/>
      <c r="I75" s="14"/>
    </row>
    <row r="76" spans="1:11" x14ac:dyDescent="0.25">
      <c r="B76" s="14"/>
      <c r="C76" s="14"/>
      <c r="D76" s="15" t="s">
        <v>31</v>
      </c>
      <c r="E76" s="16">
        <v>2011</v>
      </c>
      <c r="F76" s="15"/>
      <c r="G76" s="16">
        <v>2012</v>
      </c>
      <c r="H76" s="15"/>
      <c r="I76" s="16">
        <v>2013</v>
      </c>
    </row>
    <row r="77" spans="1:11" x14ac:dyDescent="0.25">
      <c r="B77" s="14" t="s">
        <v>118</v>
      </c>
      <c r="C77" s="17">
        <v>0.1</v>
      </c>
      <c r="D77" s="14" t="s">
        <v>33</v>
      </c>
      <c r="E77" s="18">
        <v>2000</v>
      </c>
      <c r="F77" s="14"/>
      <c r="G77" s="18">
        <f>E77*1.1</f>
        <v>2200</v>
      </c>
      <c r="H77" s="14"/>
      <c r="I77" s="14">
        <f>G77*1.1</f>
        <v>2420</v>
      </c>
    </row>
    <row r="78" spans="1:11" x14ac:dyDescent="0.25">
      <c r="B78" s="14" t="s">
        <v>34</v>
      </c>
      <c r="C78" s="17">
        <v>0.4</v>
      </c>
      <c r="D78" s="14" t="s">
        <v>35</v>
      </c>
      <c r="E78" s="18">
        <v>-1800</v>
      </c>
      <c r="F78" s="17">
        <f>-E78/E77</f>
        <v>0.9</v>
      </c>
      <c r="G78" s="18">
        <f>E78*1.1</f>
        <v>-1980.0000000000002</v>
      </c>
      <c r="H78" s="14"/>
      <c r="I78" s="14">
        <f>-I77*0.9</f>
        <v>-2178</v>
      </c>
    </row>
    <row r="79" spans="1:11" x14ac:dyDescent="0.25">
      <c r="B79" s="14" t="s">
        <v>36</v>
      </c>
      <c r="C79" s="17">
        <v>0.1</v>
      </c>
      <c r="D79" s="14" t="s">
        <v>37</v>
      </c>
      <c r="E79" s="18">
        <f>SUM(E77:E78)</f>
        <v>200</v>
      </c>
      <c r="F79" s="14"/>
      <c r="G79" s="18">
        <f>E79*1.1</f>
        <v>220.00000000000003</v>
      </c>
      <c r="H79" s="14"/>
      <c r="I79" s="14">
        <f>SUM(I77:I78)</f>
        <v>242</v>
      </c>
    </row>
    <row r="80" spans="1:11" x14ac:dyDescent="0.25">
      <c r="B80" s="14" t="s">
        <v>38</v>
      </c>
      <c r="C80" s="17">
        <v>0.1</v>
      </c>
      <c r="D80" s="14" t="s">
        <v>20</v>
      </c>
      <c r="E80" s="18">
        <v>-40</v>
      </c>
      <c r="F80" s="14">
        <v>0.1</v>
      </c>
      <c r="G80" s="18">
        <v>-40</v>
      </c>
      <c r="H80" s="14"/>
      <c r="I80" s="14">
        <f>-G94*0.1</f>
        <v>-35.6</v>
      </c>
    </row>
    <row r="81" spans="2:9" x14ac:dyDescent="0.25">
      <c r="B81" s="14" t="s">
        <v>39</v>
      </c>
      <c r="C81" s="17">
        <v>0.4</v>
      </c>
      <c r="D81" s="14" t="s">
        <v>40</v>
      </c>
      <c r="E81" s="18">
        <f>SUM(E79:E80)</f>
        <v>160</v>
      </c>
      <c r="F81" s="14"/>
      <c r="G81" s="18">
        <f>SUM(G79:G80)</f>
        <v>180.00000000000003</v>
      </c>
      <c r="H81" s="14"/>
      <c r="I81" s="14">
        <f>SUM(I79:I80)</f>
        <v>206.4</v>
      </c>
    </row>
    <row r="82" spans="2:9" x14ac:dyDescent="0.25">
      <c r="B82" s="14" t="s">
        <v>41</v>
      </c>
      <c r="C82" s="17">
        <v>0.9</v>
      </c>
      <c r="D82" s="14" t="s">
        <v>42</v>
      </c>
      <c r="E82" s="18">
        <f>-E81*0.4</f>
        <v>-64</v>
      </c>
      <c r="F82" s="17">
        <v>0.4</v>
      </c>
      <c r="G82" s="18">
        <f>-G81*0.4</f>
        <v>-72.000000000000014</v>
      </c>
      <c r="H82" s="14"/>
      <c r="I82" s="14">
        <f>-I81*0.4</f>
        <v>-82.56</v>
      </c>
    </row>
    <row r="83" spans="2:9" x14ac:dyDescent="0.25">
      <c r="B83" s="14" t="s">
        <v>43</v>
      </c>
      <c r="C83" s="17">
        <v>0.33333333333333331</v>
      </c>
      <c r="D83" s="14" t="s">
        <v>7</v>
      </c>
      <c r="E83" s="18">
        <f>SUM(E81:E82)</f>
        <v>96</v>
      </c>
      <c r="F83" s="14"/>
      <c r="G83" s="18">
        <f>SUM(G81:G82)</f>
        <v>108.00000000000001</v>
      </c>
      <c r="H83" s="14"/>
      <c r="I83" s="14">
        <f>SUM(I81:I82)</f>
        <v>123.84</v>
      </c>
    </row>
    <row r="84" spans="2:9" x14ac:dyDescent="0.25">
      <c r="B84" s="14"/>
      <c r="C84" s="14"/>
      <c r="D84" s="14" t="s">
        <v>8</v>
      </c>
      <c r="E84" s="18">
        <v>-64</v>
      </c>
      <c r="F84" s="19" t="s">
        <v>60</v>
      </c>
      <c r="G84" s="18">
        <f>G83*1/3</f>
        <v>36.000000000000007</v>
      </c>
      <c r="H84" s="14"/>
      <c r="I84" s="14">
        <f>-I83*1/3</f>
        <v>-41.28</v>
      </c>
    </row>
    <row r="85" spans="2:9" x14ac:dyDescent="0.25">
      <c r="B85" s="14"/>
      <c r="C85" s="14"/>
      <c r="D85" s="14" t="s">
        <v>45</v>
      </c>
      <c r="E85" s="18">
        <f>SUM(E83:E84)</f>
        <v>32</v>
      </c>
      <c r="F85" s="14"/>
      <c r="G85" s="20">
        <f>SUM(G83:G84)</f>
        <v>144.00000000000003</v>
      </c>
      <c r="H85" s="14"/>
      <c r="I85" s="14">
        <f>SUM(I83:I84)</f>
        <v>82.56</v>
      </c>
    </row>
    <row r="86" spans="2:9" x14ac:dyDescent="0.25">
      <c r="B86" s="14"/>
      <c r="C86" s="14"/>
      <c r="D86" s="14"/>
      <c r="E86" s="18"/>
      <c r="F86" s="14"/>
      <c r="G86" s="18"/>
      <c r="H86" s="14"/>
      <c r="I86" s="14"/>
    </row>
    <row r="87" spans="2:9" x14ac:dyDescent="0.25">
      <c r="B87" s="14"/>
      <c r="C87" s="14"/>
      <c r="D87" s="15" t="s">
        <v>46</v>
      </c>
      <c r="E87" s="18"/>
      <c r="F87" s="14"/>
      <c r="G87" s="18"/>
      <c r="H87" s="14"/>
      <c r="I87" s="14"/>
    </row>
    <row r="88" spans="2:9" x14ac:dyDescent="0.25">
      <c r="B88" s="14"/>
      <c r="C88" s="14"/>
      <c r="D88" s="14" t="s">
        <v>47</v>
      </c>
      <c r="E88" s="18"/>
      <c r="F88" s="14"/>
      <c r="G88" s="18"/>
      <c r="H88" s="14"/>
      <c r="I88" s="14"/>
    </row>
    <row r="89" spans="2:9" x14ac:dyDescent="0.25">
      <c r="B89" s="14"/>
      <c r="C89" s="14"/>
      <c r="D89" s="14" t="s">
        <v>48</v>
      </c>
      <c r="E89" s="18">
        <v>200</v>
      </c>
      <c r="F89" s="17">
        <f>E89/2000</f>
        <v>0.1</v>
      </c>
      <c r="G89" s="18">
        <f>F89*2200</f>
        <v>220</v>
      </c>
      <c r="H89" s="14">
        <f>G89-E89</f>
        <v>20</v>
      </c>
      <c r="I89" s="14">
        <f>I77*0.1</f>
        <v>242</v>
      </c>
    </row>
    <row r="90" spans="2:9" x14ac:dyDescent="0.25">
      <c r="B90" s="14"/>
      <c r="C90" s="14"/>
      <c r="D90" s="14" t="s">
        <v>49</v>
      </c>
      <c r="E90" s="18">
        <v>800</v>
      </c>
      <c r="F90" s="17">
        <f>E90/2000</f>
        <v>0.4</v>
      </c>
      <c r="G90" s="18">
        <f>F90*2200</f>
        <v>880</v>
      </c>
      <c r="H90" s="14">
        <f>G90-E90</f>
        <v>80</v>
      </c>
      <c r="I90" s="14">
        <f>I77*0.4</f>
        <v>968</v>
      </c>
    </row>
    <row r="91" spans="2:9" x14ac:dyDescent="0.25">
      <c r="B91" s="14"/>
      <c r="C91" s="14"/>
      <c r="D91" s="14" t="s">
        <v>50</v>
      </c>
      <c r="E91" s="18">
        <f>SUM(E89:E90)</f>
        <v>1000</v>
      </c>
      <c r="F91" s="17">
        <f>E91/2000</f>
        <v>0.5</v>
      </c>
      <c r="G91" s="18">
        <f>F91*2200</f>
        <v>1100</v>
      </c>
      <c r="H91" s="14"/>
      <c r="I91" s="14">
        <f>SUM(I89:I90)</f>
        <v>1210</v>
      </c>
    </row>
    <row r="92" spans="2:9" x14ac:dyDescent="0.25">
      <c r="B92" s="14"/>
      <c r="C92" s="14"/>
      <c r="D92" s="14"/>
      <c r="E92" s="18"/>
      <c r="F92" s="14"/>
      <c r="G92" s="18"/>
      <c r="H92" s="14"/>
      <c r="I92" s="14"/>
    </row>
    <row r="93" spans="2:9" x14ac:dyDescent="0.25">
      <c r="B93" s="14"/>
      <c r="C93" s="14"/>
      <c r="D93" s="14" t="s">
        <v>51</v>
      </c>
      <c r="E93" s="18"/>
      <c r="F93" s="14"/>
      <c r="G93" s="18"/>
      <c r="H93" s="14"/>
      <c r="I93" s="14"/>
    </row>
    <row r="94" spans="2:9" x14ac:dyDescent="0.25">
      <c r="B94" s="14"/>
      <c r="C94" s="14"/>
      <c r="D94" s="14" t="s">
        <v>52</v>
      </c>
      <c r="E94" s="18">
        <v>400</v>
      </c>
      <c r="F94" s="14"/>
      <c r="G94" s="18">
        <f>G91-G95</f>
        <v>356</v>
      </c>
      <c r="H94" s="14"/>
      <c r="I94" s="21">
        <f>I96-I95</f>
        <v>383.44000000000005</v>
      </c>
    </row>
    <row r="95" spans="2:9" x14ac:dyDescent="0.25">
      <c r="B95" s="14"/>
      <c r="C95" s="14"/>
      <c r="D95" s="14" t="s">
        <v>53</v>
      </c>
      <c r="E95" s="18">
        <v>600</v>
      </c>
      <c r="F95" s="14"/>
      <c r="G95" s="18">
        <f>E95+G85</f>
        <v>744</v>
      </c>
      <c r="H95" s="14"/>
      <c r="I95" s="21">
        <f>G95+I85</f>
        <v>826.56</v>
      </c>
    </row>
    <row r="96" spans="2:9" x14ac:dyDescent="0.25">
      <c r="B96" s="14"/>
      <c r="C96" s="14"/>
      <c r="D96" s="14" t="s">
        <v>54</v>
      </c>
      <c r="E96" s="18">
        <f>SUM(E94:E95)</f>
        <v>1000</v>
      </c>
      <c r="F96" s="14"/>
      <c r="G96" s="18">
        <f>SUM(G94:G95)</f>
        <v>1100</v>
      </c>
      <c r="H96" s="14"/>
      <c r="I96" s="14">
        <f>I91</f>
        <v>1210</v>
      </c>
    </row>
    <row r="97" spans="1:9" x14ac:dyDescent="0.25">
      <c r="B97" s="14"/>
      <c r="C97" s="14"/>
      <c r="D97" s="14" t="s">
        <v>11</v>
      </c>
      <c r="E97" s="18"/>
      <c r="F97" s="14"/>
      <c r="G97" s="20">
        <f>G94-E94</f>
        <v>-44</v>
      </c>
      <c r="H97" s="14"/>
      <c r="I97" s="22">
        <f>I94-G94</f>
        <v>27.440000000000055</v>
      </c>
    </row>
    <row r="98" spans="1:9" x14ac:dyDescent="0.25">
      <c r="B98" s="14"/>
      <c r="C98" s="14"/>
      <c r="D98" s="14"/>
      <c r="E98" s="14"/>
      <c r="F98" s="14"/>
      <c r="G98" s="14"/>
      <c r="H98" s="14"/>
      <c r="I98" s="14"/>
    </row>
    <row r="99" spans="1:9" x14ac:dyDescent="0.25">
      <c r="B99" s="14"/>
      <c r="C99" s="14"/>
      <c r="D99" s="14"/>
      <c r="E99" s="14"/>
      <c r="F99" s="14"/>
      <c r="G99" s="14"/>
      <c r="H99" s="14"/>
      <c r="I99" s="14"/>
    </row>
    <row r="100" spans="1:9" x14ac:dyDescent="0.25">
      <c r="B100" s="14"/>
      <c r="C100" s="14"/>
      <c r="D100" s="15" t="s">
        <v>55</v>
      </c>
      <c r="E100" s="14"/>
      <c r="F100" s="14"/>
      <c r="G100" s="14"/>
      <c r="H100" s="14"/>
      <c r="I100" s="14"/>
    </row>
    <row r="101" spans="1:9" x14ac:dyDescent="0.25">
      <c r="B101" s="14"/>
      <c r="C101" s="14"/>
      <c r="D101" s="14" t="s">
        <v>45</v>
      </c>
      <c r="E101" s="14">
        <v>36</v>
      </c>
      <c r="F101" s="14"/>
      <c r="G101" s="14"/>
      <c r="H101" s="14"/>
      <c r="I101" s="14"/>
    </row>
    <row r="102" spans="1:9" x14ac:dyDescent="0.25">
      <c r="B102" s="14"/>
      <c r="C102" s="14"/>
      <c r="D102" s="14" t="s">
        <v>56</v>
      </c>
      <c r="E102" s="14">
        <v>64</v>
      </c>
      <c r="F102" s="14"/>
      <c r="G102" s="14"/>
      <c r="H102" s="14"/>
      <c r="I102" s="14"/>
    </row>
    <row r="103" spans="1:9" x14ac:dyDescent="0.25">
      <c r="B103" s="14"/>
      <c r="C103" s="14"/>
      <c r="D103" s="14"/>
      <c r="E103" s="23">
        <f>SUM(E101:E102)</f>
        <v>100</v>
      </c>
      <c r="F103" s="14"/>
      <c r="G103" s="14"/>
      <c r="H103" s="14"/>
      <c r="I103" s="14"/>
    </row>
    <row r="104" spans="1:9" x14ac:dyDescent="0.25">
      <c r="B104" s="14"/>
      <c r="C104" s="14"/>
      <c r="D104" s="14" t="s">
        <v>57</v>
      </c>
      <c r="E104" s="14"/>
      <c r="F104" s="14"/>
      <c r="G104" s="14"/>
      <c r="H104" s="14"/>
      <c r="I104" s="14"/>
    </row>
    <row r="105" spans="1:9" x14ac:dyDescent="0.25">
      <c r="B105" s="14"/>
      <c r="C105" s="14"/>
      <c r="D105" s="14" t="s">
        <v>58</v>
      </c>
      <c r="E105" s="14">
        <v>20</v>
      </c>
      <c r="F105" s="14"/>
      <c r="G105" s="14"/>
      <c r="H105" s="14"/>
      <c r="I105" s="14"/>
    </row>
    <row r="106" spans="1:9" x14ac:dyDescent="0.25">
      <c r="B106" s="14"/>
      <c r="C106" s="14"/>
      <c r="D106" s="14" t="s">
        <v>59</v>
      </c>
      <c r="E106" s="14">
        <v>80</v>
      </c>
      <c r="F106" s="14"/>
      <c r="G106" s="14"/>
      <c r="H106" s="14"/>
      <c r="I106" s="14"/>
    </row>
    <row r="107" spans="1:9" x14ac:dyDescent="0.25">
      <c r="B107" s="14"/>
      <c r="C107" s="14"/>
      <c r="D107" s="14"/>
      <c r="E107" s="23">
        <f>SUM(E105:E106)</f>
        <v>100</v>
      </c>
      <c r="F107" s="14"/>
      <c r="G107" s="14"/>
      <c r="H107" s="14"/>
      <c r="I107" s="14"/>
    </row>
    <row r="109" spans="1:9" x14ac:dyDescent="0.25">
      <c r="G109" s="51">
        <v>2012</v>
      </c>
      <c r="H109" s="52"/>
    </row>
    <row r="110" spans="1:9" x14ac:dyDescent="0.25">
      <c r="A110" t="s">
        <v>61</v>
      </c>
      <c r="B110" s="14"/>
      <c r="C110" s="14"/>
      <c r="D110" s="15" t="s">
        <v>31</v>
      </c>
      <c r="E110" s="16">
        <v>2011</v>
      </c>
      <c r="F110" s="15"/>
      <c r="G110" s="25">
        <v>0.2</v>
      </c>
      <c r="H110" s="26">
        <v>0.05</v>
      </c>
      <c r="I110" s="16"/>
    </row>
    <row r="111" spans="1:9" x14ac:dyDescent="0.25">
      <c r="B111" s="14" t="s">
        <v>32</v>
      </c>
      <c r="C111" s="17">
        <v>0.1</v>
      </c>
      <c r="D111" s="14" t="s">
        <v>33</v>
      </c>
      <c r="E111" s="18">
        <v>2000</v>
      </c>
      <c r="F111" s="14"/>
      <c r="G111" s="18">
        <f>E111*1.2</f>
        <v>2400</v>
      </c>
      <c r="H111" s="18">
        <f>E111*1.05</f>
        <v>2100</v>
      </c>
      <c r="I111" s="14"/>
    </row>
    <row r="112" spans="1:9" x14ac:dyDescent="0.25">
      <c r="B112" s="14" t="s">
        <v>34</v>
      </c>
      <c r="C112" s="17">
        <v>0.4</v>
      </c>
      <c r="D112" s="14" t="s">
        <v>35</v>
      </c>
      <c r="E112" s="18">
        <v>-1800</v>
      </c>
      <c r="F112" s="17">
        <f>-E112/E111</f>
        <v>0.9</v>
      </c>
      <c r="G112" s="18">
        <f t="shared" ref="G112:G113" si="11">E112*1.2</f>
        <v>-2160</v>
      </c>
      <c r="H112" s="18">
        <f t="shared" ref="H112:H113" si="12">E112*1.05</f>
        <v>-1890</v>
      </c>
      <c r="I112" s="14"/>
    </row>
    <row r="113" spans="2:9" x14ac:dyDescent="0.25">
      <c r="B113" s="14" t="s">
        <v>36</v>
      </c>
      <c r="C113" s="17">
        <v>0.1</v>
      </c>
      <c r="D113" s="14" t="s">
        <v>37</v>
      </c>
      <c r="E113" s="18">
        <f>SUM(E111:E112)</f>
        <v>200</v>
      </c>
      <c r="F113" s="14"/>
      <c r="G113" s="18">
        <f t="shared" si="11"/>
        <v>240</v>
      </c>
      <c r="H113" s="18">
        <f t="shared" si="12"/>
        <v>210</v>
      </c>
      <c r="I113" s="14"/>
    </row>
    <row r="114" spans="2:9" x14ac:dyDescent="0.25">
      <c r="B114" s="14" t="s">
        <v>38</v>
      </c>
      <c r="C114" s="17">
        <v>0.1</v>
      </c>
      <c r="D114" s="14" t="s">
        <v>20</v>
      </c>
      <c r="E114" s="18">
        <v>-40</v>
      </c>
      <c r="F114" s="14">
        <v>0.1</v>
      </c>
      <c r="G114" s="18">
        <v>-40</v>
      </c>
      <c r="H114" s="18">
        <v>40</v>
      </c>
      <c r="I114" s="14"/>
    </row>
    <row r="115" spans="2:9" x14ac:dyDescent="0.25">
      <c r="B115" s="14" t="s">
        <v>39</v>
      </c>
      <c r="C115" s="17">
        <v>0.4</v>
      </c>
      <c r="D115" s="14" t="s">
        <v>40</v>
      </c>
      <c r="E115" s="18">
        <f>SUM(E113:E114)</f>
        <v>160</v>
      </c>
      <c r="F115" s="14"/>
      <c r="G115" s="18">
        <f>SUM(G113:G114)</f>
        <v>200</v>
      </c>
      <c r="H115" s="18">
        <f>H113-H114</f>
        <v>170</v>
      </c>
      <c r="I115" s="14"/>
    </row>
    <row r="116" spans="2:9" x14ac:dyDescent="0.25">
      <c r="B116" s="14" t="s">
        <v>41</v>
      </c>
      <c r="C116" s="17">
        <v>0.9</v>
      </c>
      <c r="D116" s="14" t="s">
        <v>42</v>
      </c>
      <c r="E116" s="18">
        <f>-E115*0.4</f>
        <v>-64</v>
      </c>
      <c r="F116" s="17">
        <v>0.4</v>
      </c>
      <c r="G116" s="18">
        <f>-G115*0.4</f>
        <v>-80</v>
      </c>
      <c r="H116" s="18">
        <f>H115*40%</f>
        <v>68</v>
      </c>
      <c r="I116" s="14"/>
    </row>
    <row r="117" spans="2:9" x14ac:dyDescent="0.25">
      <c r="B117" s="14" t="s">
        <v>43</v>
      </c>
      <c r="C117" s="17">
        <v>0.33333333333333331</v>
      </c>
      <c r="D117" s="14" t="s">
        <v>7</v>
      </c>
      <c r="E117" s="18">
        <f>SUM(E115:E116)</f>
        <v>96</v>
      </c>
      <c r="F117" s="14"/>
      <c r="G117" s="18">
        <f>SUM(G115:G116)</f>
        <v>120</v>
      </c>
      <c r="H117" s="18">
        <f t="shared" ref="H117" si="13">H115-H116</f>
        <v>102</v>
      </c>
      <c r="I117" s="14"/>
    </row>
    <row r="118" spans="2:9" x14ac:dyDescent="0.25">
      <c r="B118" s="14"/>
      <c r="C118" s="14"/>
      <c r="D118" s="14" t="s">
        <v>8</v>
      </c>
      <c r="E118" s="18">
        <v>-64</v>
      </c>
      <c r="F118" s="19" t="s">
        <v>44</v>
      </c>
      <c r="G118" s="18">
        <f>G117*2/3</f>
        <v>80</v>
      </c>
      <c r="H118" s="18">
        <f>H117*2/3</f>
        <v>68</v>
      </c>
      <c r="I118" s="14"/>
    </row>
    <row r="119" spans="2:9" x14ac:dyDescent="0.25">
      <c r="B119" s="14"/>
      <c r="C119" s="14"/>
      <c r="D119" s="14" t="s">
        <v>45</v>
      </c>
      <c r="E119" s="18">
        <f>SUM(E117:E118)</f>
        <v>32</v>
      </c>
      <c r="F119" s="14"/>
      <c r="G119" s="20">
        <f>G117-G118</f>
        <v>40</v>
      </c>
      <c r="H119" s="20">
        <f>H117-H118</f>
        <v>34</v>
      </c>
      <c r="I119" s="14"/>
    </row>
    <row r="120" spans="2:9" x14ac:dyDescent="0.25">
      <c r="B120" s="14"/>
      <c r="C120" s="14"/>
      <c r="D120" s="14"/>
      <c r="E120" s="18"/>
      <c r="F120" s="14"/>
      <c r="G120" s="18"/>
      <c r="H120" s="14"/>
      <c r="I120" s="14"/>
    </row>
    <row r="121" spans="2:9" x14ac:dyDescent="0.25">
      <c r="B121" s="14"/>
      <c r="C121" s="14"/>
      <c r="D121" s="15" t="s">
        <v>46</v>
      </c>
      <c r="E121" s="18"/>
      <c r="F121" s="14"/>
      <c r="G121" s="18"/>
      <c r="H121" s="14"/>
      <c r="I121" s="14"/>
    </row>
    <row r="122" spans="2:9" x14ac:dyDescent="0.25">
      <c r="B122" s="14"/>
      <c r="C122" s="14"/>
      <c r="D122" s="14" t="s">
        <v>47</v>
      </c>
      <c r="E122" s="18"/>
      <c r="F122" s="14"/>
      <c r="G122" s="18"/>
      <c r="H122" s="14"/>
      <c r="I122" s="14"/>
    </row>
    <row r="123" spans="2:9" x14ac:dyDescent="0.25">
      <c r="B123" s="14"/>
      <c r="C123" s="14"/>
      <c r="D123" s="14" t="s">
        <v>48</v>
      </c>
      <c r="E123" s="18">
        <v>200</v>
      </c>
      <c r="F123" s="17">
        <f>E123/2000</f>
        <v>0.1</v>
      </c>
      <c r="G123" s="18">
        <f>E123*1.2</f>
        <v>240</v>
      </c>
      <c r="H123" s="18">
        <f>E123*1.05</f>
        <v>210</v>
      </c>
      <c r="I123" s="14"/>
    </row>
    <row r="124" spans="2:9" x14ac:dyDescent="0.25">
      <c r="B124" s="14"/>
      <c r="C124" s="14"/>
      <c r="D124" s="14" t="s">
        <v>49</v>
      </c>
      <c r="E124" s="18">
        <v>800</v>
      </c>
      <c r="F124" s="17">
        <f>E124/2000</f>
        <v>0.4</v>
      </c>
      <c r="G124" s="18">
        <f t="shared" ref="G124:G125" si="14">E124*1.2</f>
        <v>960</v>
      </c>
      <c r="H124" s="18">
        <f t="shared" ref="H124" si="15">E124*1.05</f>
        <v>840</v>
      </c>
      <c r="I124" s="14"/>
    </row>
    <row r="125" spans="2:9" x14ac:dyDescent="0.25">
      <c r="B125" s="14"/>
      <c r="C125" s="14"/>
      <c r="D125" s="14" t="s">
        <v>50</v>
      </c>
      <c r="E125" s="18">
        <f>SUM(E123:E124)</f>
        <v>1000</v>
      </c>
      <c r="F125" s="17">
        <f>E125/2000</f>
        <v>0.5</v>
      </c>
      <c r="G125" s="18">
        <f t="shared" si="14"/>
        <v>1200</v>
      </c>
      <c r="H125" s="18">
        <f>E125*1.05</f>
        <v>1050</v>
      </c>
      <c r="I125" s="14"/>
    </row>
    <row r="126" spans="2:9" x14ac:dyDescent="0.25">
      <c r="B126" s="14"/>
      <c r="C126" s="14"/>
      <c r="D126" s="14"/>
      <c r="E126" s="18"/>
      <c r="F126" s="14"/>
      <c r="G126" s="18"/>
      <c r="H126" s="18"/>
      <c r="I126" s="14"/>
    </row>
    <row r="127" spans="2:9" x14ac:dyDescent="0.25">
      <c r="B127" s="14"/>
      <c r="C127" s="14"/>
      <c r="D127" s="14" t="s">
        <v>51</v>
      </c>
      <c r="E127" s="18"/>
      <c r="F127" s="14"/>
      <c r="G127" s="18"/>
      <c r="H127" s="18"/>
      <c r="I127" s="14"/>
    </row>
    <row r="128" spans="2:9" x14ac:dyDescent="0.25">
      <c r="B128" s="14"/>
      <c r="C128" s="14"/>
      <c r="D128" s="14" t="s">
        <v>52</v>
      </c>
      <c r="E128" s="18">
        <v>400</v>
      </c>
      <c r="F128" s="14"/>
      <c r="G128" s="18">
        <f>G125-G129</f>
        <v>560</v>
      </c>
      <c r="H128" s="18">
        <f>H125-H129</f>
        <v>416</v>
      </c>
      <c r="I128" s="21"/>
    </row>
    <row r="129" spans="2:9" x14ac:dyDescent="0.25">
      <c r="B129" s="14"/>
      <c r="C129" s="14"/>
      <c r="D129" s="14" t="s">
        <v>53</v>
      </c>
      <c r="E129" s="18">
        <v>600</v>
      </c>
      <c r="F129" s="14"/>
      <c r="G129" s="18">
        <f>600+G119</f>
        <v>640</v>
      </c>
      <c r="H129" s="18">
        <f>600+H119</f>
        <v>634</v>
      </c>
      <c r="I129" s="21"/>
    </row>
    <row r="130" spans="2:9" x14ac:dyDescent="0.25">
      <c r="B130" s="14"/>
      <c r="C130" s="14"/>
      <c r="D130" s="14" t="s">
        <v>54</v>
      </c>
      <c r="E130" s="18">
        <f>SUM(E128:E129)</f>
        <v>1000</v>
      </c>
      <c r="F130" s="14"/>
      <c r="G130" s="18">
        <f>SUM(G128:G129)</f>
        <v>1200</v>
      </c>
      <c r="H130" s="18">
        <f>E130*1.05</f>
        <v>1050</v>
      </c>
      <c r="I130" s="14"/>
    </row>
    <row r="131" spans="2:9" x14ac:dyDescent="0.25">
      <c r="B131" s="14"/>
      <c r="C131" s="14"/>
      <c r="D131" s="14" t="s">
        <v>11</v>
      </c>
      <c r="E131" s="18"/>
      <c r="F131" s="14"/>
      <c r="G131" s="20">
        <f>G128-400</f>
        <v>160</v>
      </c>
      <c r="H131" s="20">
        <f>H128-400</f>
        <v>16</v>
      </c>
      <c r="I131" s="22"/>
    </row>
    <row r="132" spans="2:9" x14ac:dyDescent="0.25">
      <c r="B132" s="14"/>
      <c r="C132" s="14"/>
      <c r="D132" s="14"/>
      <c r="E132" s="14"/>
      <c r="F132" s="14"/>
      <c r="G132" s="14"/>
      <c r="H132" s="14"/>
      <c r="I132" s="14"/>
    </row>
    <row r="133" spans="2:9" x14ac:dyDescent="0.25">
      <c r="B133" s="14"/>
      <c r="C133" s="14"/>
      <c r="D133" s="14"/>
      <c r="E133" s="14"/>
      <c r="F133" s="14"/>
      <c r="G133" s="14"/>
      <c r="H133" s="14"/>
      <c r="I133" s="14"/>
    </row>
    <row r="134" spans="2:9" x14ac:dyDescent="0.25">
      <c r="B134" s="14"/>
      <c r="C134" s="14"/>
      <c r="D134" s="15" t="s">
        <v>55</v>
      </c>
      <c r="E134" s="14"/>
      <c r="F134" s="14"/>
      <c r="G134" s="14"/>
      <c r="H134" s="14"/>
      <c r="I134" s="14"/>
    </row>
    <row r="135" spans="2:9" x14ac:dyDescent="0.25">
      <c r="B135" s="14"/>
      <c r="C135" s="14"/>
      <c r="D135" s="14" t="s">
        <v>45</v>
      </c>
      <c r="E135" s="14">
        <v>36</v>
      </c>
      <c r="F135" s="14"/>
      <c r="G135" s="14"/>
      <c r="H135" s="14"/>
      <c r="I135" s="14"/>
    </row>
    <row r="136" spans="2:9" x14ac:dyDescent="0.25">
      <c r="B136" s="14"/>
      <c r="C136" s="14"/>
      <c r="D136" s="14" t="s">
        <v>56</v>
      </c>
      <c r="E136" s="14">
        <v>64</v>
      </c>
      <c r="F136" s="14"/>
      <c r="G136" s="14"/>
      <c r="H136" s="14"/>
      <c r="I136" s="14"/>
    </row>
    <row r="137" spans="2:9" x14ac:dyDescent="0.25">
      <c r="B137" s="14"/>
      <c r="C137" s="14"/>
      <c r="D137" s="14"/>
      <c r="E137" s="23">
        <f>SUM(E135:E136)</f>
        <v>100</v>
      </c>
      <c r="F137" s="14"/>
      <c r="G137" s="14"/>
      <c r="H137" s="14"/>
      <c r="I137" s="14"/>
    </row>
    <row r="138" spans="2:9" x14ac:dyDescent="0.25">
      <c r="B138" s="14"/>
      <c r="C138" s="14"/>
      <c r="D138" s="14" t="s">
        <v>57</v>
      </c>
      <c r="E138" s="14"/>
      <c r="F138" s="14"/>
      <c r="G138" s="14"/>
      <c r="H138" s="14"/>
      <c r="I138" s="14"/>
    </row>
    <row r="139" spans="2:9" x14ac:dyDescent="0.25">
      <c r="B139" s="14"/>
      <c r="C139" s="14"/>
      <c r="D139" s="14" t="s">
        <v>58</v>
      </c>
      <c r="E139" s="14">
        <v>20</v>
      </c>
      <c r="F139" s="14"/>
      <c r="G139" s="14"/>
      <c r="H139" s="14"/>
      <c r="I139" s="14"/>
    </row>
    <row r="140" spans="2:9" x14ac:dyDescent="0.25">
      <c r="B140" s="14"/>
      <c r="C140" s="14"/>
      <c r="D140" s="14" t="s">
        <v>59</v>
      </c>
      <c r="E140" s="14">
        <v>80</v>
      </c>
      <c r="F140" s="14"/>
      <c r="G140" s="14"/>
      <c r="H140" s="14"/>
      <c r="I140" s="14"/>
    </row>
    <row r="141" spans="2:9" x14ac:dyDescent="0.25">
      <c r="B141" s="14"/>
      <c r="C141" s="14"/>
      <c r="D141" s="14"/>
      <c r="E141" s="23">
        <f>SUM(E139:E140)</f>
        <v>100</v>
      </c>
      <c r="F141" s="14"/>
      <c r="G141" s="14"/>
      <c r="H141" s="14"/>
      <c r="I141" s="14"/>
    </row>
    <row r="145" spans="1:14" x14ac:dyDescent="0.25">
      <c r="A145" t="s">
        <v>64</v>
      </c>
      <c r="B145" t="s">
        <v>62</v>
      </c>
      <c r="C145" s="27">
        <v>50000</v>
      </c>
    </row>
    <row r="146" spans="1:14" x14ac:dyDescent="0.25">
      <c r="B146" t="s">
        <v>7</v>
      </c>
      <c r="C146" s="27">
        <v>2000</v>
      </c>
    </row>
    <row r="147" spans="1:14" x14ac:dyDescent="0.25">
      <c r="B147" t="s">
        <v>63</v>
      </c>
      <c r="C147" s="27">
        <v>500</v>
      </c>
    </row>
    <row r="148" spans="1:14" x14ac:dyDescent="0.25">
      <c r="B148" t="s">
        <v>50</v>
      </c>
      <c r="C148" s="27">
        <v>100000</v>
      </c>
    </row>
    <row r="149" spans="1:14" x14ac:dyDescent="0.25">
      <c r="B149" t="s">
        <v>2</v>
      </c>
      <c r="C149" s="27">
        <v>40000</v>
      </c>
    </row>
    <row r="150" spans="1:14" x14ac:dyDescent="0.25">
      <c r="B150" t="s">
        <v>3</v>
      </c>
      <c r="C150" s="27">
        <v>60000</v>
      </c>
    </row>
    <row r="152" spans="1:14" x14ac:dyDescent="0.25">
      <c r="B152" t="s">
        <v>14</v>
      </c>
      <c r="D152" t="s">
        <v>16</v>
      </c>
    </row>
    <row r="153" spans="1:14" x14ac:dyDescent="0.25">
      <c r="B153" t="s">
        <v>15</v>
      </c>
      <c r="D153" t="s">
        <v>13</v>
      </c>
    </row>
    <row r="154" spans="1:14" x14ac:dyDescent="0.25">
      <c r="D154" s="13">
        <f>2000/60000</f>
        <v>3.3333333333333333E-2</v>
      </c>
      <c r="E154">
        <f>1-500/2000</f>
        <v>0.75</v>
      </c>
      <c r="F154" t="s">
        <v>21</v>
      </c>
      <c r="G154" s="28">
        <f>D154*E154</f>
        <v>2.5000000000000001E-2</v>
      </c>
    </row>
    <row r="155" spans="1:14" x14ac:dyDescent="0.25">
      <c r="F155" t="s">
        <v>23</v>
      </c>
      <c r="G155" s="2">
        <f>40000*G154</f>
        <v>1000</v>
      </c>
    </row>
    <row r="156" spans="1:14" x14ac:dyDescent="0.25">
      <c r="F156" t="s">
        <v>24</v>
      </c>
      <c r="G156" s="28">
        <f>D154*E154*(60/100)</f>
        <v>1.4999999999999999E-2</v>
      </c>
    </row>
    <row r="158" spans="1:14" x14ac:dyDescent="0.25">
      <c r="A158" t="s">
        <v>65</v>
      </c>
      <c r="B158" t="s">
        <v>66</v>
      </c>
      <c r="D158" s="31">
        <v>0.8</v>
      </c>
      <c r="H158" s="41">
        <f>100/125</f>
        <v>0.8</v>
      </c>
      <c r="I158" t="s">
        <v>1</v>
      </c>
      <c r="J158">
        <v>125</v>
      </c>
      <c r="K158">
        <f>K159/0.8</f>
        <v>130.25</v>
      </c>
      <c r="L158" s="39">
        <f>K158/J158-1</f>
        <v>4.2000000000000037E-2</v>
      </c>
      <c r="M158" s="32">
        <f>K159/J158</f>
        <v>0.83360000000000001</v>
      </c>
      <c r="N158" s="40">
        <f>M158-H158</f>
        <v>3.3599999999999963E-2</v>
      </c>
    </row>
    <row r="159" spans="1:14" x14ac:dyDescent="0.25">
      <c r="B159" t="s">
        <v>69</v>
      </c>
      <c r="D159" s="3">
        <v>0.1</v>
      </c>
      <c r="I159" t="s">
        <v>5</v>
      </c>
      <c r="J159">
        <v>100</v>
      </c>
      <c r="K159">
        <v>104.2</v>
      </c>
      <c r="L159" s="29">
        <v>4.2000000000000003E-2</v>
      </c>
    </row>
    <row r="160" spans="1:14" x14ac:dyDescent="0.25">
      <c r="B160" t="s">
        <v>32</v>
      </c>
      <c r="D160" s="3">
        <v>0.05</v>
      </c>
      <c r="H160" s="38">
        <v>0.1042</v>
      </c>
      <c r="I160" t="s">
        <v>7</v>
      </c>
      <c r="J160">
        <v>10</v>
      </c>
      <c r="K160" s="37">
        <f>SUM(K161:K162)</f>
        <v>10.416666666666668</v>
      </c>
    </row>
    <row r="161" spans="1:11" x14ac:dyDescent="0.25">
      <c r="B161" t="s">
        <v>67</v>
      </c>
      <c r="D161" s="3">
        <v>0.4</v>
      </c>
      <c r="G161" t="s">
        <v>70</v>
      </c>
      <c r="H161" s="3">
        <v>0.04</v>
      </c>
      <c r="J161">
        <v>4</v>
      </c>
      <c r="K161" s="36">
        <f>(K162/0.6)*0.4</f>
        <v>4.166666666666667</v>
      </c>
    </row>
    <row r="162" spans="1:11" x14ac:dyDescent="0.25">
      <c r="B162" t="s">
        <v>15</v>
      </c>
      <c r="D162" t="s">
        <v>13</v>
      </c>
      <c r="G162" t="s">
        <v>71</v>
      </c>
      <c r="H162" s="3">
        <v>0.06</v>
      </c>
      <c r="J162">
        <v>6</v>
      </c>
      <c r="K162">
        <f>125*0.05</f>
        <v>6.25</v>
      </c>
    </row>
    <row r="163" spans="1:11" x14ac:dyDescent="0.25">
      <c r="B163" t="s">
        <v>68</v>
      </c>
      <c r="D163" s="29">
        <f>5%/60%</f>
        <v>8.3333333333333343E-2</v>
      </c>
      <c r="F163" s="30"/>
      <c r="G163" t="s">
        <v>72</v>
      </c>
      <c r="J163" s="33">
        <f>6/125</f>
        <v>4.8000000000000001E-2</v>
      </c>
      <c r="K163" s="35">
        <f>K162/125</f>
        <v>0.05</v>
      </c>
    </row>
    <row r="167" spans="1:11" x14ac:dyDescent="0.25">
      <c r="A167" t="s">
        <v>73</v>
      </c>
      <c r="B167" t="s">
        <v>14</v>
      </c>
      <c r="D167" t="s">
        <v>16</v>
      </c>
      <c r="G167" s="42">
        <f>25%*40%</f>
        <v>0.1</v>
      </c>
    </row>
    <row r="168" spans="1:11" x14ac:dyDescent="0.25">
      <c r="B168" t="s">
        <v>11</v>
      </c>
      <c r="D168" s="27">
        <f>1000000*0.3</f>
        <v>300000</v>
      </c>
      <c r="E168">
        <f>1000000*25%*40%</f>
        <v>100000</v>
      </c>
      <c r="G168" s="43">
        <f>D168-E168</f>
        <v>200000</v>
      </c>
    </row>
    <row r="169" spans="1:11" x14ac:dyDescent="0.25">
      <c r="B169" t="s">
        <v>14</v>
      </c>
      <c r="D169" t="s">
        <v>16</v>
      </c>
      <c r="G169" s="42">
        <v>0.25</v>
      </c>
    </row>
    <row r="170" spans="1:11" x14ac:dyDescent="0.25">
      <c r="D170" s="27">
        <f>1000000*0.3</f>
        <v>300000</v>
      </c>
      <c r="E170">
        <f>1000000*0.25</f>
        <v>250000</v>
      </c>
      <c r="G170" s="43">
        <f>D170-E170</f>
        <v>50000</v>
      </c>
    </row>
    <row r="173" spans="1:11" x14ac:dyDescent="0.25">
      <c r="A173" t="s">
        <v>74</v>
      </c>
      <c r="B173" t="s">
        <v>69</v>
      </c>
      <c r="D173" s="3">
        <v>0.1</v>
      </c>
      <c r="F173" t="s">
        <v>5</v>
      </c>
      <c r="G173">
        <f>10/0.1</f>
        <v>100</v>
      </c>
    </row>
    <row r="174" spans="1:11" x14ac:dyDescent="0.25">
      <c r="B174" t="s">
        <v>66</v>
      </c>
      <c r="D174" s="31">
        <v>0.6</v>
      </c>
      <c r="F174" t="s">
        <v>1</v>
      </c>
      <c r="G174" s="11">
        <f>100/0.6</f>
        <v>166.66666666666669</v>
      </c>
    </row>
    <row r="175" spans="1:11" x14ac:dyDescent="0.25">
      <c r="B175" t="s">
        <v>7</v>
      </c>
      <c r="D175">
        <v>10</v>
      </c>
    </row>
    <row r="176" spans="1:11" x14ac:dyDescent="0.25">
      <c r="B176" t="s">
        <v>70</v>
      </c>
      <c r="D176">
        <v>4</v>
      </c>
    </row>
    <row r="177" spans="1:7" x14ac:dyDescent="0.25">
      <c r="B177" t="s">
        <v>71</v>
      </c>
      <c r="D177">
        <v>6</v>
      </c>
    </row>
    <row r="178" spans="1:7" x14ac:dyDescent="0.25">
      <c r="B178" t="s">
        <v>15</v>
      </c>
      <c r="D178" t="s">
        <v>13</v>
      </c>
      <c r="F178" s="13">
        <f>10/G174*60%</f>
        <v>3.599999999999999E-2</v>
      </c>
      <c r="G178" s="30">
        <f>(0.1/(100/0.6))*0.6</f>
        <v>3.5999999999999997E-4</v>
      </c>
    </row>
    <row r="180" spans="1:7" x14ac:dyDescent="0.25">
      <c r="A180" t="s">
        <v>75</v>
      </c>
      <c r="B180" t="s">
        <v>32</v>
      </c>
      <c r="D180" s="3">
        <v>0.1</v>
      </c>
    </row>
    <row r="181" spans="1:7" x14ac:dyDescent="0.25">
      <c r="B181" t="s">
        <v>72</v>
      </c>
      <c r="D181" s="3">
        <v>0.18</v>
      </c>
    </row>
    <row r="183" spans="1:7" x14ac:dyDescent="0.25">
      <c r="B183" t="s">
        <v>67</v>
      </c>
      <c r="D183" s="38">
        <f>1-D184</f>
        <v>0.44444444444444442</v>
      </c>
    </row>
    <row r="184" spans="1:7" x14ac:dyDescent="0.25">
      <c r="B184" t="s">
        <v>76</v>
      </c>
      <c r="D184" s="38">
        <f>D180/D181</f>
        <v>0.55555555555555558</v>
      </c>
    </row>
    <row r="186" spans="1:7" x14ac:dyDescent="0.25">
      <c r="A186" t="s">
        <v>77</v>
      </c>
      <c r="B186" t="s">
        <v>32</v>
      </c>
      <c r="D186" s="3">
        <v>0.1</v>
      </c>
    </row>
    <row r="187" spans="1:7" x14ac:dyDescent="0.25">
      <c r="B187" t="s">
        <v>72</v>
      </c>
      <c r="D187" s="3">
        <v>0.18</v>
      </c>
    </row>
    <row r="188" spans="1:7" x14ac:dyDescent="0.25">
      <c r="B188" t="s">
        <v>78</v>
      </c>
      <c r="D188" s="5">
        <v>0.33333333333333331</v>
      </c>
    </row>
    <row r="189" spans="1:7" x14ac:dyDescent="0.25">
      <c r="B189" s="2" t="s">
        <v>67</v>
      </c>
    </row>
    <row r="190" spans="1:7" x14ac:dyDescent="0.25">
      <c r="B190" t="s">
        <v>76</v>
      </c>
    </row>
    <row r="191" spans="1:7" x14ac:dyDescent="0.25">
      <c r="B191" t="s">
        <v>14</v>
      </c>
      <c r="C191" s="28">
        <f>18%*44.44%*1/4</f>
        <v>1.9997999999999998E-2</v>
      </c>
      <c r="D191" t="s">
        <v>16</v>
      </c>
      <c r="G191" t="s">
        <v>79</v>
      </c>
    </row>
    <row r="193" spans="1:9" x14ac:dyDescent="0.25">
      <c r="A193" t="s">
        <v>80</v>
      </c>
      <c r="B193" t="s">
        <v>66</v>
      </c>
      <c r="D193">
        <v>2</v>
      </c>
    </row>
    <row r="194" spans="1:9" x14ac:dyDescent="0.25">
      <c r="B194" t="s">
        <v>76</v>
      </c>
      <c r="D194" s="3">
        <v>0.5</v>
      </c>
    </row>
    <row r="195" spans="1:9" x14ac:dyDescent="0.25">
      <c r="B195" t="s">
        <v>69</v>
      </c>
      <c r="D195" t="s">
        <v>81</v>
      </c>
      <c r="E195" s="28">
        <f>D199/D200</f>
        <v>0.1</v>
      </c>
    </row>
    <row r="196" spans="1:9" x14ac:dyDescent="0.25">
      <c r="B196" t="s">
        <v>32</v>
      </c>
      <c r="D196" s="3">
        <v>0.1</v>
      </c>
    </row>
    <row r="197" spans="1:9" x14ac:dyDescent="0.25">
      <c r="B197" t="s">
        <v>82</v>
      </c>
    </row>
    <row r="198" spans="1:9" x14ac:dyDescent="0.25">
      <c r="B198" t="s">
        <v>14</v>
      </c>
      <c r="C198" t="s">
        <v>16</v>
      </c>
      <c r="F198" t="s">
        <v>83</v>
      </c>
    </row>
    <row r="199" spans="1:9" x14ac:dyDescent="0.25">
      <c r="B199" t="s">
        <v>85</v>
      </c>
      <c r="D199" s="10">
        <f>0.1/0.5</f>
        <v>0.2</v>
      </c>
    </row>
    <row r="200" spans="1:9" x14ac:dyDescent="0.25">
      <c r="B200" t="s">
        <v>66</v>
      </c>
      <c r="D200">
        <v>2</v>
      </c>
    </row>
    <row r="201" spans="1:9" x14ac:dyDescent="0.25">
      <c r="B201" t="s">
        <v>84</v>
      </c>
    </row>
    <row r="202" spans="1:9" x14ac:dyDescent="0.25">
      <c r="B202" t="s">
        <v>85</v>
      </c>
    </row>
    <row r="203" spans="1:9" x14ac:dyDescent="0.25">
      <c r="B203" t="s">
        <v>86</v>
      </c>
    </row>
    <row r="204" spans="1:9" x14ac:dyDescent="0.25">
      <c r="B204" t="s">
        <v>87</v>
      </c>
    </row>
    <row r="206" spans="1:9" x14ac:dyDescent="0.25">
      <c r="A206" t="s">
        <v>88</v>
      </c>
      <c r="B206" t="s">
        <v>66</v>
      </c>
      <c r="D206">
        <v>2</v>
      </c>
    </row>
    <row r="207" spans="1:9" x14ac:dyDescent="0.25">
      <c r="B207" t="s">
        <v>76</v>
      </c>
      <c r="D207" s="3">
        <v>0.5</v>
      </c>
    </row>
    <row r="208" spans="1:9" x14ac:dyDescent="0.25">
      <c r="B208" t="s">
        <v>69</v>
      </c>
      <c r="D208" t="s">
        <v>81</v>
      </c>
      <c r="E208" s="44">
        <v>0.06</v>
      </c>
      <c r="F208" s="24" t="s">
        <v>89</v>
      </c>
      <c r="H208" s="2" t="s">
        <v>67</v>
      </c>
      <c r="I208" s="29">
        <f>1-I209</f>
        <v>0.33333333333333326</v>
      </c>
    </row>
    <row r="209" spans="1:9" x14ac:dyDescent="0.25">
      <c r="B209" t="s">
        <v>32</v>
      </c>
      <c r="D209" s="3">
        <v>0.08</v>
      </c>
      <c r="H209" s="2" t="s">
        <v>76</v>
      </c>
      <c r="I209" s="13">
        <f>0.08/0.12</f>
        <v>0.66666666666666674</v>
      </c>
    </row>
    <row r="210" spans="1:9" x14ac:dyDescent="0.25">
      <c r="B210" t="s">
        <v>82</v>
      </c>
    </row>
    <row r="211" spans="1:9" x14ac:dyDescent="0.25">
      <c r="B211" t="s">
        <v>14</v>
      </c>
      <c r="C211" t="s">
        <v>16</v>
      </c>
      <c r="F211" t="s">
        <v>83</v>
      </c>
    </row>
    <row r="212" spans="1:9" x14ac:dyDescent="0.25">
      <c r="B212" t="s">
        <v>85</v>
      </c>
      <c r="D212" s="10">
        <f>0.1/0.5</f>
        <v>0.2</v>
      </c>
      <c r="I212">
        <f>0.06/(1/2)</f>
        <v>0.12</v>
      </c>
    </row>
    <row r="213" spans="1:9" x14ac:dyDescent="0.25">
      <c r="B213" t="s">
        <v>66</v>
      </c>
      <c r="D213">
        <v>2</v>
      </c>
    </row>
    <row r="214" spans="1:9" x14ac:dyDescent="0.25">
      <c r="B214" t="s">
        <v>84</v>
      </c>
    </row>
    <row r="215" spans="1:9" x14ac:dyDescent="0.25">
      <c r="B215" t="s">
        <v>85</v>
      </c>
    </row>
    <row r="216" spans="1:9" x14ac:dyDescent="0.25">
      <c r="B216" t="s">
        <v>86</v>
      </c>
    </row>
    <row r="217" spans="1:9" x14ac:dyDescent="0.25">
      <c r="B217" t="s">
        <v>87</v>
      </c>
    </row>
    <row r="220" spans="1:9" x14ac:dyDescent="0.25">
      <c r="A220" t="s">
        <v>90</v>
      </c>
      <c r="B220" t="s">
        <v>91</v>
      </c>
      <c r="C220" t="s">
        <v>13</v>
      </c>
      <c r="E220" s="12">
        <f>6%/(1/2)</f>
        <v>0.12</v>
      </c>
    </row>
    <row r="221" spans="1:9" x14ac:dyDescent="0.25">
      <c r="C221" s="24" t="s">
        <v>92</v>
      </c>
    </row>
    <row r="224" spans="1:9" x14ac:dyDescent="0.25">
      <c r="A224" t="s">
        <v>93</v>
      </c>
      <c r="B224" t="s">
        <v>94</v>
      </c>
      <c r="E224" s="34">
        <v>2012</v>
      </c>
      <c r="F224" s="47">
        <v>2013</v>
      </c>
      <c r="G224" t="s">
        <v>107</v>
      </c>
      <c r="H224" s="3">
        <v>0.2</v>
      </c>
    </row>
    <row r="225" spans="2:8" x14ac:dyDescent="0.25">
      <c r="B225" t="s">
        <v>5</v>
      </c>
      <c r="E225" s="27">
        <v>200000</v>
      </c>
      <c r="F225" s="45">
        <f>E225*1.2</f>
        <v>240000</v>
      </c>
      <c r="G225" t="s">
        <v>108</v>
      </c>
    </row>
    <row r="226" spans="2:8" x14ac:dyDescent="0.25">
      <c r="B226" t="s">
        <v>95</v>
      </c>
      <c r="E226" s="27">
        <v>150000</v>
      </c>
      <c r="F226" s="45">
        <f t="shared" ref="F226:F227" si="16">E226*1.2</f>
        <v>180000</v>
      </c>
      <c r="G226" t="s">
        <v>109</v>
      </c>
      <c r="H226" s="3">
        <v>0.1</v>
      </c>
    </row>
    <row r="227" spans="2:8" x14ac:dyDescent="0.25">
      <c r="B227" t="s">
        <v>37</v>
      </c>
      <c r="E227" s="27">
        <v>50000</v>
      </c>
      <c r="F227" s="45">
        <f t="shared" si="16"/>
        <v>60000</v>
      </c>
    </row>
    <row r="228" spans="2:8" x14ac:dyDescent="0.25">
      <c r="B228" t="s">
        <v>96</v>
      </c>
      <c r="E228" s="27">
        <v>10000</v>
      </c>
      <c r="F228" s="45">
        <f>E228</f>
        <v>10000</v>
      </c>
    </row>
    <row r="229" spans="2:8" x14ac:dyDescent="0.25">
      <c r="B229" t="s">
        <v>97</v>
      </c>
      <c r="E229" s="27">
        <v>40000</v>
      </c>
      <c r="F229" s="45">
        <f>F227-F228</f>
        <v>50000</v>
      </c>
    </row>
    <row r="230" spans="2:8" x14ac:dyDescent="0.25">
      <c r="B230" t="s">
        <v>98</v>
      </c>
      <c r="E230" s="27">
        <v>14000</v>
      </c>
      <c r="F230" s="45">
        <f>F229*35%</f>
        <v>17500</v>
      </c>
    </row>
    <row r="231" spans="2:8" x14ac:dyDescent="0.25">
      <c r="B231" t="s">
        <v>7</v>
      </c>
      <c r="E231" s="27">
        <v>26000</v>
      </c>
      <c r="F231" s="45">
        <f>F229-F230</f>
        <v>32500</v>
      </c>
    </row>
    <row r="232" spans="2:8" x14ac:dyDescent="0.25">
      <c r="B232" t="s">
        <v>110</v>
      </c>
      <c r="E232" s="27">
        <v>10400</v>
      </c>
      <c r="F232" s="45">
        <f>F231*40%</f>
        <v>13000</v>
      </c>
    </row>
    <row r="233" spans="2:8" x14ac:dyDescent="0.25">
      <c r="B233" t="s">
        <v>45</v>
      </c>
      <c r="E233" s="27">
        <v>15600</v>
      </c>
      <c r="F233" s="45">
        <f>F231*60%</f>
        <v>19500</v>
      </c>
    </row>
    <row r="234" spans="2:8" x14ac:dyDescent="0.25">
      <c r="F234" s="45"/>
    </row>
    <row r="235" spans="2:8" x14ac:dyDescent="0.25">
      <c r="B235" t="s">
        <v>99</v>
      </c>
      <c r="F235" s="45"/>
    </row>
    <row r="236" spans="2:8" x14ac:dyDescent="0.25">
      <c r="B236" t="s">
        <v>100</v>
      </c>
      <c r="E236" s="27">
        <v>3000</v>
      </c>
      <c r="F236" s="45">
        <f>E236*1.2</f>
        <v>3600</v>
      </c>
    </row>
    <row r="237" spans="2:8" x14ac:dyDescent="0.25">
      <c r="B237" t="s">
        <v>101</v>
      </c>
      <c r="E237" s="27">
        <v>8000</v>
      </c>
      <c r="F237" s="45">
        <f t="shared" ref="F237:F241" si="17">E237*1.2</f>
        <v>9600</v>
      </c>
    </row>
    <row r="238" spans="2:8" x14ac:dyDescent="0.25">
      <c r="B238" t="s">
        <v>102</v>
      </c>
      <c r="E238" s="27">
        <v>29000</v>
      </c>
      <c r="F238" s="45">
        <f t="shared" si="17"/>
        <v>34800</v>
      </c>
    </row>
    <row r="239" spans="2:8" x14ac:dyDescent="0.25">
      <c r="B239" t="s">
        <v>103</v>
      </c>
      <c r="E239" s="27">
        <v>160000</v>
      </c>
      <c r="F239" s="45">
        <f t="shared" si="17"/>
        <v>192000</v>
      </c>
    </row>
    <row r="240" spans="2:8" x14ac:dyDescent="0.25">
      <c r="B240" s="1" t="s">
        <v>50</v>
      </c>
      <c r="C240" s="1"/>
      <c r="D240" s="1"/>
      <c r="E240" s="46">
        <f>SUM(E236:E239)</f>
        <v>200000</v>
      </c>
      <c r="F240" s="45">
        <f t="shared" si="17"/>
        <v>240000</v>
      </c>
    </row>
    <row r="241" spans="1:8" x14ac:dyDescent="0.25">
      <c r="B241" t="s">
        <v>104</v>
      </c>
      <c r="E241" s="27">
        <v>10000</v>
      </c>
      <c r="F241" s="45">
        <f t="shared" si="17"/>
        <v>12000</v>
      </c>
    </row>
    <row r="242" spans="1:8" x14ac:dyDescent="0.25">
      <c r="B242" t="s">
        <v>105</v>
      </c>
      <c r="E242" s="27">
        <v>100000</v>
      </c>
      <c r="F242" s="43">
        <f>F240-F241-F243-F244</f>
        <v>118500</v>
      </c>
      <c r="G242" s="48">
        <f>F242-E242</f>
        <v>18500</v>
      </c>
      <c r="H242" t="s">
        <v>11</v>
      </c>
    </row>
    <row r="243" spans="1:8" x14ac:dyDescent="0.25">
      <c r="B243" t="s">
        <v>3</v>
      </c>
      <c r="E243" s="27">
        <v>15000</v>
      </c>
      <c r="F243" s="45">
        <v>15000</v>
      </c>
    </row>
    <row r="244" spans="1:8" x14ac:dyDescent="0.25">
      <c r="B244" t="s">
        <v>45</v>
      </c>
      <c r="E244" s="27">
        <v>75000</v>
      </c>
      <c r="F244" s="45">
        <f>E244+F233</f>
        <v>94500</v>
      </c>
    </row>
    <row r="245" spans="1:8" x14ac:dyDescent="0.25">
      <c r="B245" s="1" t="s">
        <v>106</v>
      </c>
      <c r="C245" s="1"/>
      <c r="D245" s="1"/>
      <c r="E245" s="46">
        <f>SUM(E241:E244)</f>
        <v>200000</v>
      </c>
      <c r="F245" s="45">
        <f>SUM(F241:F244)</f>
        <v>240000</v>
      </c>
    </row>
    <row r="247" spans="1:8" x14ac:dyDescent="0.25">
      <c r="A247" t="s">
        <v>111</v>
      </c>
    </row>
    <row r="248" spans="1:8" x14ac:dyDescent="0.25">
      <c r="E248">
        <f>160000*0.75</f>
        <v>120000</v>
      </c>
      <c r="F248">
        <v>200000</v>
      </c>
      <c r="H248">
        <f>E248*240/200</f>
        <v>144000</v>
      </c>
    </row>
    <row r="249" spans="1:8" x14ac:dyDescent="0.25">
      <c r="E249">
        <f>E248*240000/F248</f>
        <v>144000</v>
      </c>
      <c r="F249">
        <v>240000</v>
      </c>
    </row>
    <row r="251" spans="1:8" x14ac:dyDescent="0.25">
      <c r="B251" t="s">
        <v>100</v>
      </c>
      <c r="E251" s="27">
        <v>3000</v>
      </c>
      <c r="F251" s="45">
        <f>F236</f>
        <v>3600</v>
      </c>
    </row>
    <row r="252" spans="1:8" x14ac:dyDescent="0.25">
      <c r="B252" t="s">
        <v>101</v>
      </c>
      <c r="E252" s="27">
        <v>8000</v>
      </c>
      <c r="F252" s="45">
        <f t="shared" ref="F252:F259" si="18">F237</f>
        <v>9600</v>
      </c>
    </row>
    <row r="253" spans="1:8" x14ac:dyDescent="0.25">
      <c r="B253" t="s">
        <v>102</v>
      </c>
      <c r="E253" s="27">
        <v>29000</v>
      </c>
      <c r="F253" s="45">
        <f t="shared" si="18"/>
        <v>34800</v>
      </c>
    </row>
    <row r="254" spans="1:8" x14ac:dyDescent="0.25">
      <c r="B254" t="s">
        <v>103</v>
      </c>
      <c r="E254" s="27">
        <v>160000</v>
      </c>
      <c r="F254" s="45">
        <v>160000</v>
      </c>
    </row>
    <row r="255" spans="1:8" x14ac:dyDescent="0.25">
      <c r="B255" s="1" t="s">
        <v>50</v>
      </c>
      <c r="E255" s="46">
        <f>SUM(E251:E254)</f>
        <v>200000</v>
      </c>
      <c r="F255" s="45">
        <f>SUM(F251:F254)</f>
        <v>208000</v>
      </c>
    </row>
    <row r="256" spans="1:8" x14ac:dyDescent="0.25">
      <c r="B256" t="s">
        <v>104</v>
      </c>
      <c r="E256" s="27">
        <v>10000</v>
      </c>
      <c r="F256" s="45">
        <f t="shared" si="18"/>
        <v>12000</v>
      </c>
    </row>
    <row r="257" spans="1:8" x14ac:dyDescent="0.25">
      <c r="B257" t="s">
        <v>105</v>
      </c>
      <c r="E257" s="27">
        <v>100000</v>
      </c>
      <c r="F257" s="49">
        <f>F255-F256-F258-F259</f>
        <v>86500</v>
      </c>
      <c r="G257" s="50">
        <f>F257-E257</f>
        <v>-13500</v>
      </c>
      <c r="H257" t="s">
        <v>11</v>
      </c>
    </row>
    <row r="258" spans="1:8" x14ac:dyDescent="0.25">
      <c r="B258" t="s">
        <v>3</v>
      </c>
      <c r="E258" s="27">
        <v>15000</v>
      </c>
      <c r="F258" s="45">
        <f t="shared" si="18"/>
        <v>15000</v>
      </c>
    </row>
    <row r="259" spans="1:8" x14ac:dyDescent="0.25">
      <c r="B259" t="s">
        <v>45</v>
      </c>
      <c r="E259" s="27">
        <v>75000</v>
      </c>
      <c r="F259" s="45">
        <f t="shared" si="18"/>
        <v>94500</v>
      </c>
    </row>
    <row r="260" spans="1:8" x14ac:dyDescent="0.25">
      <c r="B260" s="1" t="s">
        <v>106</v>
      </c>
      <c r="E260" s="46">
        <f>SUM(E256:E259)</f>
        <v>200000</v>
      </c>
      <c r="F260" s="45">
        <f>SUM(F256:F259)</f>
        <v>208000</v>
      </c>
    </row>
    <row r="263" spans="1:8" x14ac:dyDescent="0.25">
      <c r="A263" t="s">
        <v>112</v>
      </c>
      <c r="B263" t="s">
        <v>113</v>
      </c>
    </row>
    <row r="264" spans="1:8" x14ac:dyDescent="0.25">
      <c r="D264" s="3">
        <v>0.75</v>
      </c>
      <c r="E264" s="3">
        <v>1</v>
      </c>
    </row>
    <row r="265" spans="1:8" x14ac:dyDescent="0.25">
      <c r="D265" s="27">
        <v>200000</v>
      </c>
      <c r="E265" s="50">
        <f>200000/0.75</f>
        <v>266666.66666666669</v>
      </c>
    </row>
    <row r="267" spans="1:8" x14ac:dyDescent="0.25">
      <c r="A267" t="s">
        <v>114</v>
      </c>
      <c r="B267" t="s">
        <v>115</v>
      </c>
    </row>
    <row r="268" spans="1:8" x14ac:dyDescent="0.25">
      <c r="B268" t="s">
        <v>14</v>
      </c>
      <c r="C268" t="s">
        <v>116</v>
      </c>
    </row>
    <row r="269" spans="1:8" x14ac:dyDescent="0.25">
      <c r="B269" t="s">
        <v>117</v>
      </c>
    </row>
  </sheetData>
  <mergeCells count="1">
    <mergeCell ref="G109:H1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BAŞARAN</dc:creator>
  <cp:lastModifiedBy>Mustafa BASARAN</cp:lastModifiedBy>
  <dcterms:created xsi:type="dcterms:W3CDTF">2017-04-06T06:27:04Z</dcterms:created>
  <dcterms:modified xsi:type="dcterms:W3CDTF">2018-04-05T07:13:53Z</dcterms:modified>
</cp:coreProperties>
</file>